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embeddings/oleObject41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embeddings/oleObject30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embeddings/oleObject39.bin" ContentType="application/vnd.openxmlformats-officedocument.oleObject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embeddings/oleObject33.bin" ContentType="application/vnd.openxmlformats-officedocument.oleObject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  <Override PartName="/xl/embeddings/oleObject40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595" yWindow="150" windowWidth="13845" windowHeight="8190" firstSheet="1" activeTab="1"/>
  </bookViews>
  <sheets>
    <sheet name="Director Instructions" sheetId="2" r:id="rId1"/>
    <sheet name="FY 12.13 Budget Request" sheetId="1" r:id="rId2"/>
    <sheet name="Form" sheetId="3" r:id="rId3"/>
    <sheet name="EMAIL WORDS" sheetId="4" r:id="rId4"/>
    <sheet name="SUMMARY RPT" sheetId="5" r:id="rId5"/>
  </sheets>
  <definedNames>
    <definedName name="_xlnm._FilterDatabase" localSheetId="1" hidden="1">'FY 12.13 Budget Request'!$O$1:$O$3725</definedName>
    <definedName name="_xlnm.Print_Area" localSheetId="0">'Director Instructions'!$A$1:$F$120</definedName>
    <definedName name="_xlnm.Print_Area" localSheetId="2">Form!$A$2142:$J$2303</definedName>
    <definedName name="_xlnm.Print_Area" localSheetId="1">'FY 12.13 Budget Request'!$C$2:$N$3721</definedName>
    <definedName name="_xlnm.Print_Area" localSheetId="4">'SUMMARY RPT'!$A$1:$H$190</definedName>
    <definedName name="_xlnm.Print_Titles" localSheetId="1">'FY 12.13 Budget Request'!$D:$N,'FY 12.13 Budget Request'!$2:$5</definedName>
  </definedNames>
  <calcPr calcId="125725"/>
</workbook>
</file>

<file path=xl/calcChain.xml><?xml version="1.0" encoding="utf-8"?>
<calcChain xmlns="http://schemas.openxmlformats.org/spreadsheetml/2006/main">
  <c r="M2833" i="1"/>
  <c r="N3658"/>
  <c r="N1020"/>
  <c r="N1016"/>
  <c r="N1021" s="1"/>
  <c r="N56"/>
  <c r="N708"/>
  <c r="N1017"/>
  <c r="N707"/>
  <c r="K3633"/>
  <c r="M3578"/>
  <c r="M3530"/>
  <c r="M3482"/>
  <c r="M3026"/>
  <c r="M2978"/>
  <c r="J2887"/>
  <c r="M2887"/>
  <c r="M2799"/>
  <c r="J2667"/>
  <c r="J2431"/>
  <c r="N3503"/>
  <c r="M3503"/>
  <c r="N3105"/>
  <c r="N3401" s="1"/>
  <c r="M3105"/>
  <c r="M3401" s="1"/>
  <c r="M3063"/>
  <c r="N3063"/>
  <c r="N2996"/>
  <c r="N2914"/>
  <c r="J8" l="1"/>
  <c r="M1808"/>
  <c r="E132" i="5" s="1"/>
  <c r="N67" i="1"/>
  <c r="N85"/>
  <c r="N84"/>
  <c r="N83"/>
  <c r="N82"/>
  <c r="N2316"/>
  <c r="N48"/>
  <c r="N815"/>
  <c r="N819"/>
  <c r="F166" i="5"/>
  <c r="N816" i="1"/>
  <c r="H8" i="5"/>
  <c r="H190"/>
  <c r="H154"/>
  <c r="H152"/>
  <c r="H150"/>
  <c r="H143"/>
  <c r="H144"/>
  <c r="H145"/>
  <c r="H146"/>
  <c r="H147"/>
  <c r="H148"/>
  <c r="H142"/>
  <c r="H138"/>
  <c r="H136"/>
  <c r="H132"/>
  <c r="H123"/>
  <c r="H44"/>
  <c r="H42"/>
  <c r="H4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19"/>
  <c r="H14"/>
  <c r="H12"/>
  <c r="H181"/>
  <c r="H182"/>
  <c r="H183"/>
  <c r="H184"/>
  <c r="H185"/>
  <c r="H186"/>
  <c r="H187"/>
  <c r="H188"/>
  <c r="H165"/>
  <c r="H166"/>
  <c r="H167"/>
  <c r="H168"/>
  <c r="H169"/>
  <c r="H170"/>
  <c r="H171"/>
  <c r="H172"/>
  <c r="H173"/>
  <c r="H174"/>
  <c r="H175"/>
  <c r="H176"/>
  <c r="H177"/>
  <c r="H178"/>
  <c r="H179"/>
  <c r="H180"/>
  <c r="H164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00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94"/>
  <c r="H95"/>
  <c r="H96"/>
  <c r="H97"/>
  <c r="H98"/>
  <c r="H99"/>
  <c r="H54"/>
  <c r="F165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64"/>
  <c r="A185"/>
  <c r="A186"/>
  <c r="A187"/>
  <c r="A188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64"/>
  <c r="F106"/>
  <c r="F107"/>
  <c r="F108"/>
  <c r="F109"/>
  <c r="F110"/>
  <c r="F111"/>
  <c r="F112"/>
  <c r="F113"/>
  <c r="F114"/>
  <c r="F115"/>
  <c r="F116"/>
  <c r="F117"/>
  <c r="F118"/>
  <c r="F119"/>
  <c r="F120"/>
  <c r="F121"/>
  <c r="E106"/>
  <c r="E107"/>
  <c r="E108"/>
  <c r="E109"/>
  <c r="E110"/>
  <c r="E111"/>
  <c r="E112"/>
  <c r="E113"/>
  <c r="E114"/>
  <c r="E115"/>
  <c r="E116"/>
  <c r="E117"/>
  <c r="E118"/>
  <c r="E119"/>
  <c r="E120"/>
  <c r="E121"/>
  <c r="D106"/>
  <c r="D107"/>
  <c r="D108"/>
  <c r="D109"/>
  <c r="D110"/>
  <c r="D111"/>
  <c r="D112"/>
  <c r="D113"/>
  <c r="D114"/>
  <c r="D115"/>
  <c r="D116"/>
  <c r="D117"/>
  <c r="D118"/>
  <c r="D119"/>
  <c r="D120"/>
  <c r="D121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A106"/>
  <c r="A107"/>
  <c r="A108"/>
  <c r="A109"/>
  <c r="A110"/>
  <c r="A111"/>
  <c r="A112"/>
  <c r="A113"/>
  <c r="A114"/>
  <c r="A115"/>
  <c r="A116"/>
  <c r="A117"/>
  <c r="A118"/>
  <c r="A119"/>
  <c r="A120"/>
  <c r="A121"/>
  <c r="F55"/>
  <c r="F56"/>
  <c r="F57"/>
  <c r="F59"/>
  <c r="F60"/>
  <c r="F61"/>
  <c r="F62"/>
  <c r="F63"/>
  <c r="F64"/>
  <c r="F65"/>
  <c r="F66"/>
  <c r="F67"/>
  <c r="F68"/>
  <c r="F69"/>
  <c r="F70"/>
  <c r="F71"/>
  <c r="F72"/>
  <c r="F73"/>
  <c r="F75"/>
  <c r="F76"/>
  <c r="F77"/>
  <c r="F78"/>
  <c r="F79"/>
  <c r="F80"/>
  <c r="F81"/>
  <c r="F82"/>
  <c r="F83"/>
  <c r="F84"/>
  <c r="F85"/>
  <c r="F86"/>
  <c r="F94"/>
  <c r="F95"/>
  <c r="F96"/>
  <c r="F97"/>
  <c r="F98"/>
  <c r="F99"/>
  <c r="F100"/>
  <c r="F101"/>
  <c r="F102"/>
  <c r="F103"/>
  <c r="F104"/>
  <c r="F105"/>
  <c r="F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4"/>
  <c r="E75"/>
  <c r="E76"/>
  <c r="E77"/>
  <c r="E78"/>
  <c r="E79"/>
  <c r="E80"/>
  <c r="E81"/>
  <c r="E82"/>
  <c r="E83"/>
  <c r="E84"/>
  <c r="E85"/>
  <c r="E86"/>
  <c r="E94"/>
  <c r="E95"/>
  <c r="E96"/>
  <c r="E97"/>
  <c r="E98"/>
  <c r="E99"/>
  <c r="E100"/>
  <c r="E101"/>
  <c r="E102"/>
  <c r="E103"/>
  <c r="E104"/>
  <c r="E105"/>
  <c r="E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94"/>
  <c r="D95"/>
  <c r="D96"/>
  <c r="D97"/>
  <c r="D98"/>
  <c r="D99"/>
  <c r="D100"/>
  <c r="D101"/>
  <c r="D102"/>
  <c r="D103"/>
  <c r="D104"/>
  <c r="D105"/>
  <c r="D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94"/>
  <c r="B95"/>
  <c r="B96"/>
  <c r="B97"/>
  <c r="B98"/>
  <c r="B99"/>
  <c r="B100"/>
  <c r="B101"/>
  <c r="B102"/>
  <c r="B103"/>
  <c r="B104"/>
  <c r="A54"/>
  <c r="A55"/>
  <c r="A56"/>
  <c r="A57"/>
  <c r="A58"/>
  <c r="A59"/>
  <c r="A105"/>
  <c r="A103"/>
  <c r="A104"/>
  <c r="A99"/>
  <c r="A100"/>
  <c r="A101"/>
  <c r="A102"/>
  <c r="A81"/>
  <c r="A82"/>
  <c r="A83"/>
  <c r="A84"/>
  <c r="A85"/>
  <c r="A86"/>
  <c r="A94"/>
  <c r="A95"/>
  <c r="A96"/>
  <c r="A97"/>
  <c r="A98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60"/>
  <c r="B54"/>
  <c r="N52" i="1"/>
  <c r="F58" i="5" s="1"/>
  <c r="M2415" i="1"/>
  <c r="J1808" l="1"/>
  <c r="G54" i="5"/>
  <c r="G104"/>
  <c r="G102"/>
  <c r="G100"/>
  <c r="G94"/>
  <c r="G85"/>
  <c r="G81"/>
  <c r="G73"/>
  <c r="G61"/>
  <c r="G59"/>
  <c r="G57"/>
  <c r="G55"/>
  <c r="G119"/>
  <c r="G113"/>
  <c r="G111"/>
  <c r="G107"/>
  <c r="G182"/>
  <c r="G176"/>
  <c r="G174"/>
  <c r="G172"/>
  <c r="G170"/>
  <c r="G168"/>
  <c r="G166"/>
  <c r="G105"/>
  <c r="G103"/>
  <c r="G101"/>
  <c r="G86"/>
  <c r="G84"/>
  <c r="G82"/>
  <c r="G80"/>
  <c r="G76"/>
  <c r="G72"/>
  <c r="G70"/>
  <c r="G64"/>
  <c r="G62"/>
  <c r="G60"/>
  <c r="G58"/>
  <c r="G56"/>
  <c r="G120"/>
  <c r="G118"/>
  <c r="G112"/>
  <c r="G106"/>
  <c r="G164"/>
  <c r="G181"/>
  <c r="G179"/>
  <c r="G177"/>
  <c r="G175"/>
  <c r="G169"/>
  <c r="G167"/>
  <c r="M2434" i="1"/>
  <c r="M2433"/>
  <c r="N2485"/>
  <c r="N2489"/>
  <c r="N2433"/>
  <c r="M601"/>
  <c r="M2230"/>
  <c r="M2086"/>
  <c r="M2085"/>
  <c r="M2084"/>
  <c r="M2082"/>
  <c r="M2080"/>
  <c r="M2079"/>
  <c r="M2078"/>
  <c r="M2076"/>
  <c r="M2075"/>
  <c r="M1961"/>
  <c r="M1960"/>
  <c r="M1959"/>
  <c r="M1956"/>
  <c r="M1952"/>
  <c r="M1951"/>
  <c r="M1949"/>
  <c r="M1948"/>
  <c r="M1757"/>
  <c r="M1756"/>
  <c r="M1754"/>
  <c r="M1626"/>
  <c r="M1625"/>
  <c r="M1621"/>
  <c r="M1620"/>
  <c r="M1619"/>
  <c r="M1616"/>
  <c r="M1540"/>
  <c r="M1539"/>
  <c r="M1538"/>
  <c r="M1535"/>
  <c r="M1534"/>
  <c r="M1533"/>
  <c r="M1531"/>
  <c r="M1530"/>
  <c r="M1387"/>
  <c r="M1382"/>
  <c r="M1381"/>
  <c r="M1380"/>
  <c r="M1378"/>
  <c r="M1377"/>
  <c r="M1287"/>
  <c r="M1286"/>
  <c r="M1282"/>
  <c r="M1281"/>
  <c r="M1280"/>
  <c r="M1278"/>
  <c r="M1186"/>
  <c r="M1185"/>
  <c r="M1183"/>
  <c r="M1179"/>
  <c r="M1177"/>
  <c r="M1176"/>
  <c r="N1176" s="1"/>
  <c r="M1123"/>
  <c r="M1103"/>
  <c r="M1101"/>
  <c r="M1026"/>
  <c r="M1025"/>
  <c r="M1022"/>
  <c r="M1020"/>
  <c r="M1019"/>
  <c r="M929"/>
  <c r="M928"/>
  <c r="M925"/>
  <c r="M923"/>
  <c r="M922"/>
  <c r="M920"/>
  <c r="M821"/>
  <c r="M820"/>
  <c r="M818"/>
  <c r="M814"/>
  <c r="M812"/>
  <c r="M811"/>
  <c r="M719"/>
  <c r="M718"/>
  <c r="M717"/>
  <c r="M714"/>
  <c r="M712"/>
  <c r="M711"/>
  <c r="M710"/>
  <c r="M707"/>
  <c r="M624"/>
  <c r="M623"/>
  <c r="M618"/>
  <c r="M617"/>
  <c r="M616"/>
  <c r="M614"/>
  <c r="M567"/>
  <c r="M566"/>
  <c r="M522"/>
  <c r="M521"/>
  <c r="M519"/>
  <c r="M518"/>
  <c r="M517"/>
  <c r="M516"/>
  <c r="M513"/>
  <c r="M512"/>
  <c r="M302"/>
  <c r="M301"/>
  <c r="M297"/>
  <c r="M296"/>
  <c r="M295"/>
  <c r="M293"/>
  <c r="M292"/>
  <c r="M216"/>
  <c r="M215"/>
  <c r="M211"/>
  <c r="M210"/>
  <c r="M209"/>
  <c r="M207"/>
  <c r="M206"/>
  <c r="J2288" i="3" l="1"/>
  <c r="J2284"/>
  <c r="J2285" s="1"/>
  <c r="J2299" s="1"/>
  <c r="J2230"/>
  <c r="J2234"/>
  <c r="J2231"/>
  <c r="J2245" s="1"/>
  <c r="J2180"/>
  <c r="J2177"/>
  <c r="J2191" s="1"/>
  <c r="N1904" i="1"/>
  <c r="N1935"/>
  <c r="N1936" s="1"/>
  <c r="H3703"/>
  <c r="I3703"/>
  <c r="J3703"/>
  <c r="K3703"/>
  <c r="L3703"/>
  <c r="M3703"/>
  <c r="N3703"/>
  <c r="G3703"/>
  <c r="H3654"/>
  <c r="I3654"/>
  <c r="J3654"/>
  <c r="K3654"/>
  <c r="L3654"/>
  <c r="M3654"/>
  <c r="N3654"/>
  <c r="O3654"/>
  <c r="G3654"/>
  <c r="H3601"/>
  <c r="I3601"/>
  <c r="J3601"/>
  <c r="K3601"/>
  <c r="L3601"/>
  <c r="M3601"/>
  <c r="N3601"/>
  <c r="G3601"/>
  <c r="H3554"/>
  <c r="I3554"/>
  <c r="J3554"/>
  <c r="K3554"/>
  <c r="L3554"/>
  <c r="M3554"/>
  <c r="N3554"/>
  <c r="G3554"/>
  <c r="H3507"/>
  <c r="I3507"/>
  <c r="J3507"/>
  <c r="K3507"/>
  <c r="L3507"/>
  <c r="M3507"/>
  <c r="N3507"/>
  <c r="G3507"/>
  <c r="H3456"/>
  <c r="I3456"/>
  <c r="J3456"/>
  <c r="K3456"/>
  <c r="L3456"/>
  <c r="M3456"/>
  <c r="N3456"/>
  <c r="G3456"/>
  <c r="M3405"/>
  <c r="N3405"/>
  <c r="H3405"/>
  <c r="I3405"/>
  <c r="J3405"/>
  <c r="K3405"/>
  <c r="L3405"/>
  <c r="G3405"/>
  <c r="H3361"/>
  <c r="I3361"/>
  <c r="J3361"/>
  <c r="K3361"/>
  <c r="L3361"/>
  <c r="M3361"/>
  <c r="N3361"/>
  <c r="G3361"/>
  <c r="H3318"/>
  <c r="I3318"/>
  <c r="J3318"/>
  <c r="K3318"/>
  <c r="L3318"/>
  <c r="M3318"/>
  <c r="N3318"/>
  <c r="G3318"/>
  <c r="H3275"/>
  <c r="I3275"/>
  <c r="J3275"/>
  <c r="K3275"/>
  <c r="L3275"/>
  <c r="M3275"/>
  <c r="N3275"/>
  <c r="G3275"/>
  <c r="H3231"/>
  <c r="I3231"/>
  <c r="J3231"/>
  <c r="K3231"/>
  <c r="L3231"/>
  <c r="M3231"/>
  <c r="N3231"/>
  <c r="G3231"/>
  <c r="H3188"/>
  <c r="I3188"/>
  <c r="J3188"/>
  <c r="K3188"/>
  <c r="L3188"/>
  <c r="M3188"/>
  <c r="N3188"/>
  <c r="G3188"/>
  <c r="H3145"/>
  <c r="I3145"/>
  <c r="J3145"/>
  <c r="K3145"/>
  <c r="L3145"/>
  <c r="M3145"/>
  <c r="N3145"/>
  <c r="G3145"/>
  <c r="H3101"/>
  <c r="I3101"/>
  <c r="J3101"/>
  <c r="K3101"/>
  <c r="L3101"/>
  <c r="M3101"/>
  <c r="N3101"/>
  <c r="G3101"/>
  <c r="H3051"/>
  <c r="I3051"/>
  <c r="J3051"/>
  <c r="K3051"/>
  <c r="L3051"/>
  <c r="M3051"/>
  <c r="N3051"/>
  <c r="G3051"/>
  <c r="H3004"/>
  <c r="I3004"/>
  <c r="J3004"/>
  <c r="K3004"/>
  <c r="L3004"/>
  <c r="M3004"/>
  <c r="N3004"/>
  <c r="G3004"/>
  <c r="H2909"/>
  <c r="I2909"/>
  <c r="J2909"/>
  <c r="K2909"/>
  <c r="L2909"/>
  <c r="M2909"/>
  <c r="N2909"/>
  <c r="G2909"/>
  <c r="H2871"/>
  <c r="I2871"/>
  <c r="J2871"/>
  <c r="K2871"/>
  <c r="L2871"/>
  <c r="M2871"/>
  <c r="N2871"/>
  <c r="G2871"/>
  <c r="H2823"/>
  <c r="I2823"/>
  <c r="J2823"/>
  <c r="K2823"/>
  <c r="L2823"/>
  <c r="M2823"/>
  <c r="N2823"/>
  <c r="G2823"/>
  <c r="H2759"/>
  <c r="I2759"/>
  <c r="J2759"/>
  <c r="K2759"/>
  <c r="L2759"/>
  <c r="M2759"/>
  <c r="N2759"/>
  <c r="N2330" s="1"/>
  <c r="G2759"/>
  <c r="H2697"/>
  <c r="I2697"/>
  <c r="J2697"/>
  <c r="K2697"/>
  <c r="L2697"/>
  <c r="M2697"/>
  <c r="N2697"/>
  <c r="G2697"/>
  <c r="O2667"/>
  <c r="H2653"/>
  <c r="I2653"/>
  <c r="J2653"/>
  <c r="K2653"/>
  <c r="L2653"/>
  <c r="M2653"/>
  <c r="N2653"/>
  <c r="G2653"/>
  <c r="O2647"/>
  <c r="O2623"/>
  <c r="M2558"/>
  <c r="N2558"/>
  <c r="H2558"/>
  <c r="I2558"/>
  <c r="J2558"/>
  <c r="K2558"/>
  <c r="L2558"/>
  <c r="G2558"/>
  <c r="O2536"/>
  <c r="O2509"/>
  <c r="H2437"/>
  <c r="I2437"/>
  <c r="J2437"/>
  <c r="K2437"/>
  <c r="L2437"/>
  <c r="M2437"/>
  <c r="N2437"/>
  <c r="G2437"/>
  <c r="O2431"/>
  <c r="O2384"/>
  <c r="O2407" s="1"/>
  <c r="O2359"/>
  <c r="O1802"/>
  <c r="J2301" i="3" l="1"/>
  <c r="J2303" s="1"/>
  <c r="J2247"/>
  <c r="J2249" s="1"/>
  <c r="J2193"/>
  <c r="J2195" s="1"/>
  <c r="L2964" i="1"/>
  <c r="L2968" s="1"/>
  <c r="L2949" s="1"/>
  <c r="L2958"/>
  <c r="H2964"/>
  <c r="H2968" s="1"/>
  <c r="H2949" s="1"/>
  <c r="H2958"/>
  <c r="I2964"/>
  <c r="I2968" s="1"/>
  <c r="I2949" s="1"/>
  <c r="I2958"/>
  <c r="J2964"/>
  <c r="J2968" s="1"/>
  <c r="J2949" s="1"/>
  <c r="J2958"/>
  <c r="K2964"/>
  <c r="K2968" s="1"/>
  <c r="K2949" s="1"/>
  <c r="K2958"/>
  <c r="N2958"/>
  <c r="N2941" s="1"/>
  <c r="N2943" s="1"/>
  <c r="M2958"/>
  <c r="N2964"/>
  <c r="N2968" s="1"/>
  <c r="N2949" s="1"/>
  <c r="M2964"/>
  <c r="M2968" s="1"/>
  <c r="M2949" s="1"/>
  <c r="N1724"/>
  <c r="J935" i="3"/>
  <c r="J937" s="1"/>
  <c r="J884"/>
  <c r="J886" s="1"/>
  <c r="J833"/>
  <c r="J835" s="1"/>
  <c r="M2970" i="1" l="1"/>
  <c r="N2970"/>
  <c r="M2941"/>
  <c r="M2943" s="1"/>
  <c r="M2953" s="1"/>
  <c r="L2970"/>
  <c r="L2941"/>
  <c r="L2943" s="1"/>
  <c r="H2970"/>
  <c r="H2941"/>
  <c r="H2943" s="1"/>
  <c r="I2970"/>
  <c r="I2941"/>
  <c r="I2943" s="1"/>
  <c r="J2970"/>
  <c r="J2941"/>
  <c r="J2943" s="1"/>
  <c r="K2970"/>
  <c r="K2941"/>
  <c r="K2943" s="1"/>
  <c r="K2953" s="1"/>
  <c r="K2972" s="1"/>
  <c r="J1275" i="3"/>
  <c r="J1277" s="1"/>
  <c r="M2972" i="1" l="1"/>
  <c r="N2937"/>
  <c r="N2953" s="1"/>
  <c r="N2972" s="1"/>
  <c r="J2139" i="3"/>
  <c r="J2141" s="1"/>
  <c r="J2082"/>
  <c r="J2084" s="1"/>
  <c r="J2025"/>
  <c r="J2027" s="1"/>
  <c r="J1968"/>
  <c r="J1970" s="1"/>
  <c r="J1912"/>
  <c r="J1914" s="1"/>
  <c r="J1855"/>
  <c r="J1857" s="1"/>
  <c r="J1799"/>
  <c r="J1801" s="1"/>
  <c r="J1733"/>
  <c r="J1735" s="1"/>
  <c r="J1676"/>
  <c r="J1678" s="1"/>
  <c r="J1617"/>
  <c r="J1619" s="1"/>
  <c r="J1560"/>
  <c r="J1562" s="1"/>
  <c r="J1503"/>
  <c r="J1505" s="1"/>
  <c r="J1446"/>
  <c r="J1448" s="1"/>
  <c r="J1388"/>
  <c r="J1390" s="1"/>
  <c r="J1332"/>
  <c r="J1334" s="1"/>
  <c r="J1219"/>
  <c r="J1221" s="1"/>
  <c r="J1162"/>
  <c r="J1164" s="1"/>
  <c r="J1104"/>
  <c r="J1106" s="1"/>
  <c r="J1048"/>
  <c r="J1050" s="1"/>
  <c r="J991"/>
  <c r="J993" s="1"/>
  <c r="J501"/>
  <c r="J503" s="1"/>
  <c r="J444"/>
  <c r="J446" s="1"/>
  <c r="J386"/>
  <c r="J388" s="1"/>
  <c r="J330"/>
  <c r="J332" s="1"/>
  <c r="J273"/>
  <c r="J275" s="1"/>
  <c r="J218"/>
  <c r="J220" s="1"/>
  <c r="J162"/>
  <c r="J164" s="1"/>
  <c r="J108"/>
  <c r="J778" l="1"/>
  <c r="J780" s="1"/>
  <c r="J723"/>
  <c r="J725" s="1"/>
  <c r="J668"/>
  <c r="J670" s="1"/>
  <c r="J613"/>
  <c r="J615" s="1"/>
  <c r="D2951" i="1" l="1"/>
  <c r="D2949"/>
  <c r="D2943"/>
  <c r="N68"/>
  <c r="F74" i="5" s="1"/>
  <c r="G74" s="1"/>
  <c r="M67" i="1"/>
  <c r="E73" i="5" s="1"/>
  <c r="H2923" i="1"/>
  <c r="I2923"/>
  <c r="J2923"/>
  <c r="K2923"/>
  <c r="L2923"/>
  <c r="M2923"/>
  <c r="G2923"/>
  <c r="N3059"/>
  <c r="M3059"/>
  <c r="L3059"/>
  <c r="K3059"/>
  <c r="J3059"/>
  <c r="I3059"/>
  <c r="H3059"/>
  <c r="G3059"/>
  <c r="N2916"/>
  <c r="M2916"/>
  <c r="L2916"/>
  <c r="K2916"/>
  <c r="J2916"/>
  <c r="I2916"/>
  <c r="H2916"/>
  <c r="G2916"/>
  <c r="H1794"/>
  <c r="I1794"/>
  <c r="J1794"/>
  <c r="K1794"/>
  <c r="L1794"/>
  <c r="G1794"/>
  <c r="H110"/>
  <c r="I110"/>
  <c r="J110"/>
  <c r="K110"/>
  <c r="D123" i="5" s="1"/>
  <c r="L110" i="1"/>
  <c r="G110"/>
  <c r="J52" i="3"/>
  <c r="J54" s="1"/>
  <c r="H3713" i="1"/>
  <c r="H3715" s="1"/>
  <c r="H3690" s="1"/>
  <c r="I3713"/>
  <c r="I3715" s="1"/>
  <c r="J3713"/>
  <c r="J3715" s="1"/>
  <c r="J3690" s="1"/>
  <c r="K3713"/>
  <c r="K3715" s="1"/>
  <c r="L3713"/>
  <c r="L3715" s="1"/>
  <c r="L3690" s="1"/>
  <c r="M3713"/>
  <c r="M3715" s="1"/>
  <c r="N3713"/>
  <c r="N3715" s="1"/>
  <c r="N3690" s="1"/>
  <c r="G3713"/>
  <c r="G3715" s="1"/>
  <c r="H3686"/>
  <c r="H3684" s="1"/>
  <c r="J3686"/>
  <c r="J3684" s="1"/>
  <c r="L3686"/>
  <c r="N3686"/>
  <c r="N3684" s="1"/>
  <c r="H3664"/>
  <c r="H3666" s="1"/>
  <c r="H3668" s="1"/>
  <c r="I3664"/>
  <c r="I3666" s="1"/>
  <c r="J3664"/>
  <c r="J3666" s="1"/>
  <c r="J3668" s="1"/>
  <c r="K3664"/>
  <c r="K3666" s="1"/>
  <c r="L3664"/>
  <c r="L3666" s="1"/>
  <c r="L3668" s="1"/>
  <c r="M3664"/>
  <c r="M3666" s="1"/>
  <c r="M3643" s="1"/>
  <c r="N3664"/>
  <c r="N3666" s="1"/>
  <c r="G3664"/>
  <c r="G3666" s="1"/>
  <c r="G3668" s="1"/>
  <c r="H3619"/>
  <c r="I3619"/>
  <c r="J3619"/>
  <c r="K3619"/>
  <c r="L3619"/>
  <c r="M3619"/>
  <c r="N3619"/>
  <c r="G3619"/>
  <c r="H3611"/>
  <c r="H3613" s="1"/>
  <c r="H3588" s="1"/>
  <c r="I3611"/>
  <c r="I3613" s="1"/>
  <c r="I3588" s="1"/>
  <c r="J3611"/>
  <c r="J3613" s="1"/>
  <c r="J3588" s="1"/>
  <c r="K3611"/>
  <c r="K3613" s="1"/>
  <c r="K3588" s="1"/>
  <c r="L3611"/>
  <c r="L3613" s="1"/>
  <c r="L3588" s="1"/>
  <c r="M3611"/>
  <c r="M3613" s="1"/>
  <c r="M3588" s="1"/>
  <c r="N3611"/>
  <c r="N3613" s="1"/>
  <c r="N3588" s="1"/>
  <c r="G3611"/>
  <c r="G3613" s="1"/>
  <c r="G3588" s="1"/>
  <c r="H3584"/>
  <c r="H3582" s="1"/>
  <c r="J3584"/>
  <c r="J3582" s="1"/>
  <c r="L3584"/>
  <c r="N3584"/>
  <c r="H3562"/>
  <c r="H3564" s="1"/>
  <c r="H3540" s="1"/>
  <c r="I3562"/>
  <c r="I3564" s="1"/>
  <c r="J3562"/>
  <c r="J3564" s="1"/>
  <c r="J3540" s="1"/>
  <c r="K3562"/>
  <c r="K3564" s="1"/>
  <c r="L3562"/>
  <c r="L3564" s="1"/>
  <c r="L3540" s="1"/>
  <c r="M3562"/>
  <c r="M3564" s="1"/>
  <c r="N3562"/>
  <c r="N3564" s="1"/>
  <c r="N3540" s="1"/>
  <c r="G3562"/>
  <c r="G3564" s="1"/>
  <c r="H3514"/>
  <c r="H3516" s="1"/>
  <c r="H3518" s="1"/>
  <c r="I3514"/>
  <c r="I3516" s="1"/>
  <c r="J3514"/>
  <c r="J3516" s="1"/>
  <c r="J3518" s="1"/>
  <c r="K3514"/>
  <c r="K3516" s="1"/>
  <c r="L3514"/>
  <c r="L3516" s="1"/>
  <c r="L3518" s="1"/>
  <c r="M3514"/>
  <c r="M3516" s="1"/>
  <c r="N3514"/>
  <c r="N3516" s="1"/>
  <c r="N3518" s="1"/>
  <c r="G3514"/>
  <c r="G3516" s="1"/>
  <c r="H3466"/>
  <c r="H3468" s="1"/>
  <c r="H3470" s="1"/>
  <c r="I3466"/>
  <c r="I3468" s="1"/>
  <c r="J3466"/>
  <c r="J3468" s="1"/>
  <c r="J3470" s="1"/>
  <c r="K3466"/>
  <c r="K3468" s="1"/>
  <c r="L3466"/>
  <c r="L3468" s="1"/>
  <c r="L3470" s="1"/>
  <c r="M3466"/>
  <c r="M3468" s="1"/>
  <c r="N3466"/>
  <c r="N3468" s="1"/>
  <c r="N3470" s="1"/>
  <c r="G3466"/>
  <c r="G3468" s="1"/>
  <c r="H3419"/>
  <c r="I3419"/>
  <c r="J3419"/>
  <c r="K3419"/>
  <c r="L3419"/>
  <c r="M3419"/>
  <c r="N3419"/>
  <c r="G3419"/>
  <c r="H3413"/>
  <c r="I3413"/>
  <c r="J3413"/>
  <c r="K3413"/>
  <c r="L3413"/>
  <c r="M3413"/>
  <c r="N3413"/>
  <c r="G3413"/>
  <c r="H3367"/>
  <c r="H3369" s="1"/>
  <c r="H3371" s="1"/>
  <c r="I3367"/>
  <c r="I3369" s="1"/>
  <c r="J3367"/>
  <c r="J3369" s="1"/>
  <c r="J3371" s="1"/>
  <c r="K3367"/>
  <c r="K3369" s="1"/>
  <c r="L3367"/>
  <c r="L3369" s="1"/>
  <c r="L3371" s="1"/>
  <c r="M3367"/>
  <c r="M3369" s="1"/>
  <c r="N3367"/>
  <c r="N3369" s="1"/>
  <c r="N3371" s="1"/>
  <c r="G3367"/>
  <c r="G3369" s="1"/>
  <c r="H3324"/>
  <c r="H3326" s="1"/>
  <c r="H3328" s="1"/>
  <c r="I3324"/>
  <c r="I3326" s="1"/>
  <c r="J3324"/>
  <c r="J3326" s="1"/>
  <c r="J3328" s="1"/>
  <c r="K3324"/>
  <c r="K3326" s="1"/>
  <c r="L3324"/>
  <c r="L3326" s="1"/>
  <c r="L3328" s="1"/>
  <c r="M3324"/>
  <c r="M3326" s="1"/>
  <c r="N3324"/>
  <c r="N3326" s="1"/>
  <c r="N3328" s="1"/>
  <c r="G3324"/>
  <c r="G3326" s="1"/>
  <c r="H3281"/>
  <c r="H3283" s="1"/>
  <c r="H3285" s="1"/>
  <c r="I3281"/>
  <c r="I3283" s="1"/>
  <c r="J3281"/>
  <c r="J3283" s="1"/>
  <c r="J3285" s="1"/>
  <c r="K3281"/>
  <c r="K3283" s="1"/>
  <c r="L3281"/>
  <c r="L3283" s="1"/>
  <c r="L3285" s="1"/>
  <c r="M3281"/>
  <c r="M3283" s="1"/>
  <c r="N3281"/>
  <c r="N3283" s="1"/>
  <c r="N3285" s="1"/>
  <c r="G3281"/>
  <c r="G3283" s="1"/>
  <c r="H3237"/>
  <c r="H3239" s="1"/>
  <c r="H3241" s="1"/>
  <c r="I3237"/>
  <c r="I3239" s="1"/>
  <c r="J3237"/>
  <c r="J3239" s="1"/>
  <c r="J3241" s="1"/>
  <c r="K3237"/>
  <c r="K3239" s="1"/>
  <c r="L3237"/>
  <c r="L3239" s="1"/>
  <c r="L3241" s="1"/>
  <c r="M3237"/>
  <c r="M3239" s="1"/>
  <c r="N3237"/>
  <c r="N3239" s="1"/>
  <c r="N3241" s="1"/>
  <c r="G3237"/>
  <c r="G3239" s="1"/>
  <c r="H3194"/>
  <c r="H3196" s="1"/>
  <c r="H3198" s="1"/>
  <c r="I3194"/>
  <c r="I3196" s="1"/>
  <c r="J3194"/>
  <c r="J3196" s="1"/>
  <c r="J3198" s="1"/>
  <c r="K3194"/>
  <c r="K3196" s="1"/>
  <c r="L3194"/>
  <c r="L3196" s="1"/>
  <c r="L3198" s="1"/>
  <c r="M3194"/>
  <c r="M3196" s="1"/>
  <c r="N3194"/>
  <c r="N3196" s="1"/>
  <c r="N3198" s="1"/>
  <c r="G3194"/>
  <c r="G3196" s="1"/>
  <c r="H3151"/>
  <c r="H3153" s="1"/>
  <c r="H3133" s="1"/>
  <c r="I3151"/>
  <c r="I3153" s="1"/>
  <c r="J3151"/>
  <c r="J3153" s="1"/>
  <c r="J3133" s="1"/>
  <c r="K3151"/>
  <c r="K3153" s="1"/>
  <c r="L3151"/>
  <c r="L3153" s="1"/>
  <c r="L3133" s="1"/>
  <c r="M3151"/>
  <c r="M3153" s="1"/>
  <c r="N3151"/>
  <c r="N3153" s="1"/>
  <c r="N3133" s="1"/>
  <c r="G3151"/>
  <c r="G3153" s="1"/>
  <c r="H3107"/>
  <c r="H3109" s="1"/>
  <c r="H3091" s="1"/>
  <c r="I3107"/>
  <c r="I3109" s="1"/>
  <c r="J3107"/>
  <c r="J3109" s="1"/>
  <c r="J3091" s="1"/>
  <c r="K3107"/>
  <c r="K3109" s="1"/>
  <c r="L3107"/>
  <c r="L3109" s="1"/>
  <c r="L3091" s="1"/>
  <c r="M3107"/>
  <c r="M3109" s="1"/>
  <c r="N3107"/>
  <c r="N3109" s="1"/>
  <c r="N3091" s="1"/>
  <c r="G3107"/>
  <c r="G3109" s="1"/>
  <c r="H3065"/>
  <c r="I3065"/>
  <c r="I3067" s="1"/>
  <c r="J3065"/>
  <c r="K3065"/>
  <c r="K3067" s="1"/>
  <c r="L3065"/>
  <c r="M3065"/>
  <c r="N3065"/>
  <c r="N3067" s="1"/>
  <c r="N3069" s="1"/>
  <c r="G3065"/>
  <c r="G3067" s="1"/>
  <c r="H3012"/>
  <c r="H2988" s="1"/>
  <c r="I3012"/>
  <c r="I2988" s="1"/>
  <c r="J3012"/>
  <c r="J2988" s="1"/>
  <c r="K3012"/>
  <c r="K2988" s="1"/>
  <c r="L3012"/>
  <c r="L2988" s="1"/>
  <c r="M3012"/>
  <c r="M2988" s="1"/>
  <c r="N3012"/>
  <c r="N2988" s="1"/>
  <c r="G3012"/>
  <c r="G2988" s="1"/>
  <c r="H3010"/>
  <c r="I3010"/>
  <c r="J3010"/>
  <c r="K3010"/>
  <c r="L3010"/>
  <c r="M3010"/>
  <c r="N3010"/>
  <c r="G3010"/>
  <c r="I2984"/>
  <c r="I2982" s="1"/>
  <c r="J2984"/>
  <c r="J2982" s="1"/>
  <c r="K2984"/>
  <c r="L2984"/>
  <c r="M2984"/>
  <c r="N2984"/>
  <c r="G2984"/>
  <c r="G2982" s="1"/>
  <c r="D2984"/>
  <c r="F2984"/>
  <c r="H2984"/>
  <c r="H2982" s="1"/>
  <c r="N2923"/>
  <c r="H2837"/>
  <c r="H2839" s="1"/>
  <c r="I2837"/>
  <c r="I2839" s="1"/>
  <c r="J2837"/>
  <c r="J2839" s="1"/>
  <c r="J2841" s="1"/>
  <c r="K2837"/>
  <c r="K2839" s="1"/>
  <c r="L2837"/>
  <c r="L2839" s="1"/>
  <c r="L2841" s="1"/>
  <c r="M2837"/>
  <c r="M2839" s="1"/>
  <c r="N2837"/>
  <c r="N2839" s="1"/>
  <c r="N2841" s="1"/>
  <c r="G2837"/>
  <c r="G2839" s="1"/>
  <c r="H2783"/>
  <c r="H2785" s="1"/>
  <c r="H2738" s="1"/>
  <c r="I2783"/>
  <c r="I2785" s="1"/>
  <c r="J2783"/>
  <c r="J2785" s="1"/>
  <c r="J2738" s="1"/>
  <c r="K2783"/>
  <c r="K2785" s="1"/>
  <c r="L2783"/>
  <c r="L2785" s="1"/>
  <c r="L2738" s="1"/>
  <c r="M2783"/>
  <c r="M2785" s="1"/>
  <c r="N2783"/>
  <c r="N2785" s="1"/>
  <c r="N2738" s="1"/>
  <c r="G2783"/>
  <c r="G2785" s="1"/>
  <c r="H2712"/>
  <c r="H2714" s="1"/>
  <c r="I2712"/>
  <c r="J2712"/>
  <c r="K2712"/>
  <c r="L2712"/>
  <c r="L2714" s="1"/>
  <c r="M2712"/>
  <c r="N2712"/>
  <c r="G2712"/>
  <c r="G2714" s="1"/>
  <c r="H2706"/>
  <c r="I2706"/>
  <c r="J2706"/>
  <c r="K2706"/>
  <c r="L2706"/>
  <c r="M2706"/>
  <c r="N2706"/>
  <c r="G2706"/>
  <c r="J2681"/>
  <c r="J2679" s="1"/>
  <c r="N2681"/>
  <c r="N2679" s="1"/>
  <c r="G2681"/>
  <c r="G2679" s="1"/>
  <c r="H2659"/>
  <c r="H2661" s="1"/>
  <c r="H2663" s="1"/>
  <c r="H2643" s="1"/>
  <c r="I2659"/>
  <c r="I2661" s="1"/>
  <c r="J2659"/>
  <c r="J2661" s="1"/>
  <c r="J2663" s="1"/>
  <c r="J2643" s="1"/>
  <c r="K2659"/>
  <c r="K2661" s="1"/>
  <c r="L2659"/>
  <c r="L2661" s="1"/>
  <c r="L2663" s="1"/>
  <c r="L2643" s="1"/>
  <c r="M2659"/>
  <c r="M2661" s="1"/>
  <c r="N2659"/>
  <c r="N2661" s="1"/>
  <c r="N2663" s="1"/>
  <c r="N2643" s="1"/>
  <c r="G2659"/>
  <c r="G2661" s="1"/>
  <c r="H2615"/>
  <c r="H2617" s="1"/>
  <c r="H2530" s="1"/>
  <c r="I2615"/>
  <c r="I2617" s="1"/>
  <c r="I2530" s="1"/>
  <c r="J2615"/>
  <c r="J2617" s="1"/>
  <c r="J2530" s="1"/>
  <c r="K2615"/>
  <c r="K2617" s="1"/>
  <c r="L2615"/>
  <c r="L2617" s="1"/>
  <c r="L2530" s="1"/>
  <c r="M2615"/>
  <c r="M2617" s="1"/>
  <c r="M2530" s="1"/>
  <c r="N2615"/>
  <c r="N2617" s="1"/>
  <c r="N2530" s="1"/>
  <c r="G2615"/>
  <c r="G2617" s="1"/>
  <c r="H2604"/>
  <c r="H2606" s="1"/>
  <c r="H2529" s="1"/>
  <c r="I2604"/>
  <c r="I2606" s="1"/>
  <c r="J2604"/>
  <c r="J2606" s="1"/>
  <c r="J2529" s="1"/>
  <c r="K2604"/>
  <c r="K2606" s="1"/>
  <c r="K2529" s="1"/>
  <c r="L2604"/>
  <c r="L2606" s="1"/>
  <c r="L2529" s="1"/>
  <c r="M2604"/>
  <c r="M2606" s="1"/>
  <c r="N2604"/>
  <c r="N2606" s="1"/>
  <c r="N2529" s="1"/>
  <c r="G2604"/>
  <c r="G2606" s="1"/>
  <c r="G2529" s="1"/>
  <c r="H2593"/>
  <c r="H2595" s="1"/>
  <c r="H2528" s="1"/>
  <c r="I2593"/>
  <c r="I2595"/>
  <c r="I2528" s="1"/>
  <c r="J2593"/>
  <c r="J2595" s="1"/>
  <c r="J2528" s="1"/>
  <c r="K2593"/>
  <c r="K2595" s="1"/>
  <c r="K2528" s="1"/>
  <c r="L2593"/>
  <c r="L2595" s="1"/>
  <c r="L2528" s="1"/>
  <c r="M2593"/>
  <c r="M2595" s="1"/>
  <c r="M2528" s="1"/>
  <c r="N2593"/>
  <c r="N2595" s="1"/>
  <c r="N2528" s="1"/>
  <c r="G2593"/>
  <c r="G2595" s="1"/>
  <c r="G2528" s="1"/>
  <c r="H2575"/>
  <c r="H2577" s="1"/>
  <c r="H2527" s="1"/>
  <c r="I2575"/>
  <c r="I2577" s="1"/>
  <c r="I2527" s="1"/>
  <c r="J2575"/>
  <c r="J2577" s="1"/>
  <c r="J2527" s="1"/>
  <c r="K2575"/>
  <c r="K2577" s="1"/>
  <c r="K2527" s="1"/>
  <c r="L2575"/>
  <c r="L2577" s="1"/>
  <c r="L2527" s="1"/>
  <c r="M2575"/>
  <c r="M2577" s="1"/>
  <c r="M2527" s="1"/>
  <c r="N2575"/>
  <c r="N2577" s="1"/>
  <c r="N2527" s="1"/>
  <c r="G2575"/>
  <c r="G2577" s="1"/>
  <c r="G2527" s="1"/>
  <c r="I2523"/>
  <c r="I2521" s="1"/>
  <c r="M2523"/>
  <c r="G2523"/>
  <c r="G2521" s="1"/>
  <c r="H2501"/>
  <c r="H2503" s="1"/>
  <c r="H2505" s="1"/>
  <c r="I2501"/>
  <c r="I2503" s="1"/>
  <c r="J2501"/>
  <c r="J2503" s="1"/>
  <c r="J2505" s="1"/>
  <c r="K2501"/>
  <c r="K2503" s="1"/>
  <c r="L2501"/>
  <c r="L2503" s="1"/>
  <c r="L2505" s="1"/>
  <c r="M2501"/>
  <c r="M2503" s="1"/>
  <c r="N2501"/>
  <c r="N2503" s="1"/>
  <c r="N2505" s="1"/>
  <c r="G2501"/>
  <c r="G2503" s="1"/>
  <c r="G2421"/>
  <c r="G2419" s="1"/>
  <c r="H2389"/>
  <c r="I2389"/>
  <c r="I2373" s="1"/>
  <c r="I2371" s="1"/>
  <c r="J2389"/>
  <c r="K2389"/>
  <c r="K2373" s="1"/>
  <c r="L2389"/>
  <c r="M2389"/>
  <c r="M2373" s="1"/>
  <c r="N2389"/>
  <c r="G2389"/>
  <c r="G2373" s="1"/>
  <c r="G2371" s="1"/>
  <c r="H2399"/>
  <c r="H2401" s="1"/>
  <c r="I2399"/>
  <c r="I2401" s="1"/>
  <c r="I2403" s="1"/>
  <c r="I2379" s="1"/>
  <c r="J2399"/>
  <c r="J2401" s="1"/>
  <c r="K2399"/>
  <c r="K2401" s="1"/>
  <c r="K2403" s="1"/>
  <c r="K2379" s="1"/>
  <c r="L2399"/>
  <c r="L2401" s="1"/>
  <c r="M2399"/>
  <c r="M2401" s="1"/>
  <c r="M2403" s="1"/>
  <c r="M2379" s="1"/>
  <c r="N2399"/>
  <c r="N2401" s="1"/>
  <c r="G2399"/>
  <c r="G2401" s="1"/>
  <c r="G2377" s="1"/>
  <c r="H2350"/>
  <c r="I2350"/>
  <c r="J2350"/>
  <c r="K2350"/>
  <c r="L2350"/>
  <c r="M2350"/>
  <c r="N2350"/>
  <c r="G2350"/>
  <c r="H2343"/>
  <c r="I2343"/>
  <c r="J2343"/>
  <c r="K2343"/>
  <c r="L2343"/>
  <c r="M2343"/>
  <c r="N2343"/>
  <c r="G2343"/>
  <c r="H2332"/>
  <c r="I2332"/>
  <c r="J2332"/>
  <c r="K2332"/>
  <c r="L2332"/>
  <c r="M2332"/>
  <c r="N2332"/>
  <c r="G2332"/>
  <c r="H2328"/>
  <c r="I2328"/>
  <c r="J2328"/>
  <c r="K2328"/>
  <c r="L2328"/>
  <c r="M2328"/>
  <c r="N2328"/>
  <c r="G2328"/>
  <c r="H2316"/>
  <c r="I2316"/>
  <c r="J2316"/>
  <c r="K2316"/>
  <c r="L2316"/>
  <c r="M2316"/>
  <c r="G2316"/>
  <c r="H2310"/>
  <c r="I2310"/>
  <c r="J2310"/>
  <c r="K2310"/>
  <c r="L2310"/>
  <c r="M2310"/>
  <c r="N2310"/>
  <c r="G2310"/>
  <c r="H2304"/>
  <c r="I2304"/>
  <c r="J2304"/>
  <c r="K2304"/>
  <c r="L2304"/>
  <c r="M2304"/>
  <c r="N2304"/>
  <c r="G2304"/>
  <c r="H2296"/>
  <c r="I2296"/>
  <c r="J2296"/>
  <c r="K2296"/>
  <c r="L2296"/>
  <c r="M2296"/>
  <c r="N2296"/>
  <c r="G2296"/>
  <c r="H2290"/>
  <c r="I2290"/>
  <c r="J2290"/>
  <c r="K2290"/>
  <c r="L2290"/>
  <c r="M2290"/>
  <c r="N2290"/>
  <c r="G2290"/>
  <c r="N2318"/>
  <c r="N1822" s="1"/>
  <c r="F146" i="5" s="1"/>
  <c r="H2279" i="1"/>
  <c r="I2279"/>
  <c r="J2279"/>
  <c r="K2279"/>
  <c r="L2279"/>
  <c r="M2279"/>
  <c r="N2279"/>
  <c r="G2279"/>
  <c r="H2266"/>
  <c r="I2266"/>
  <c r="J2266"/>
  <c r="K2266"/>
  <c r="L2266"/>
  <c r="M2266"/>
  <c r="N2266"/>
  <c r="G2266"/>
  <c r="H2247"/>
  <c r="I2247"/>
  <c r="J2247"/>
  <c r="K2247"/>
  <c r="L2247"/>
  <c r="M2247"/>
  <c r="N2247"/>
  <c r="G2247"/>
  <c r="H2224"/>
  <c r="I2224"/>
  <c r="J2224"/>
  <c r="K2224"/>
  <c r="L2224"/>
  <c r="M2224"/>
  <c r="N2224"/>
  <c r="G2224"/>
  <c r="H2201"/>
  <c r="I2201"/>
  <c r="J2201"/>
  <c r="K2201"/>
  <c r="L2201"/>
  <c r="M2201"/>
  <c r="N2201"/>
  <c r="G2201"/>
  <c r="K2281"/>
  <c r="K1821" s="1"/>
  <c r="D145" i="5" s="1"/>
  <c r="H2179" i="1"/>
  <c r="I2179"/>
  <c r="J2179"/>
  <c r="K2179"/>
  <c r="L2179"/>
  <c r="M2179"/>
  <c r="N2179"/>
  <c r="G2179"/>
  <c r="H2163"/>
  <c r="I2163"/>
  <c r="J2163"/>
  <c r="K2163"/>
  <c r="L2163"/>
  <c r="M2163"/>
  <c r="N2163"/>
  <c r="G2163"/>
  <c r="H2138"/>
  <c r="I2138"/>
  <c r="J2138"/>
  <c r="K2138"/>
  <c r="L2138"/>
  <c r="M2138"/>
  <c r="N2138"/>
  <c r="G2138"/>
  <c r="H2114"/>
  <c r="I2114"/>
  <c r="J2114"/>
  <c r="K2114"/>
  <c r="L2114"/>
  <c r="M2114"/>
  <c r="N2114"/>
  <c r="G2114"/>
  <c r="H2090"/>
  <c r="I2090"/>
  <c r="J2090"/>
  <c r="K2090"/>
  <c r="L2090"/>
  <c r="M2090"/>
  <c r="N2090"/>
  <c r="G2090"/>
  <c r="H2181"/>
  <c r="H1820" s="1"/>
  <c r="J2181"/>
  <c r="J1820" s="1"/>
  <c r="L2181"/>
  <c r="L1820" s="1"/>
  <c r="H2066"/>
  <c r="I2066"/>
  <c r="J2066"/>
  <c r="K2066"/>
  <c r="L2066"/>
  <c r="M2066"/>
  <c r="N2066"/>
  <c r="G2066"/>
  <c r="H2041"/>
  <c r="I2041"/>
  <c r="J2041"/>
  <c r="K2041"/>
  <c r="L2041"/>
  <c r="M2041"/>
  <c r="N2041"/>
  <c r="G2041"/>
  <c r="H2012"/>
  <c r="I2012"/>
  <c r="J2012"/>
  <c r="K2012"/>
  <c r="L2012"/>
  <c r="M2012"/>
  <c r="N2012"/>
  <c r="G2012"/>
  <c r="H1988"/>
  <c r="I1988"/>
  <c r="J1988"/>
  <c r="K1988"/>
  <c r="L1988"/>
  <c r="M1988"/>
  <c r="N1988"/>
  <c r="G1988"/>
  <c r="H1965"/>
  <c r="I1965"/>
  <c r="J1965"/>
  <c r="K1965"/>
  <c r="L1965"/>
  <c r="M1965"/>
  <c r="N1965"/>
  <c r="G1965"/>
  <c r="H1939"/>
  <c r="I1939"/>
  <c r="J1939"/>
  <c r="K1939"/>
  <c r="L1939"/>
  <c r="M1939"/>
  <c r="N1939"/>
  <c r="G1939"/>
  <c r="H1928"/>
  <c r="I1928"/>
  <c r="J1928"/>
  <c r="K1928"/>
  <c r="L1928"/>
  <c r="M1928"/>
  <c r="N1928"/>
  <c r="G1928"/>
  <c r="H1916"/>
  <c r="I1916"/>
  <c r="J1916"/>
  <c r="K1916"/>
  <c r="L1916"/>
  <c r="M1916"/>
  <c r="N1916"/>
  <c r="G1916"/>
  <c r="H1898"/>
  <c r="I1898"/>
  <c r="J1898"/>
  <c r="K1898"/>
  <c r="L1898"/>
  <c r="M1898"/>
  <c r="N1898"/>
  <c r="G1898"/>
  <c r="H1881"/>
  <c r="I1881"/>
  <c r="J1881"/>
  <c r="K1881"/>
  <c r="L1881"/>
  <c r="M1881"/>
  <c r="N1881"/>
  <c r="G1881"/>
  <c r="H1860"/>
  <c r="H1814" s="1"/>
  <c r="H1812" s="1"/>
  <c r="I1860"/>
  <c r="I1814" s="1"/>
  <c r="I1812" s="1"/>
  <c r="J1860"/>
  <c r="K1860"/>
  <c r="L1860"/>
  <c r="L1814" s="1"/>
  <c r="L1812" s="1"/>
  <c r="M1860"/>
  <c r="N1860"/>
  <c r="G1860"/>
  <c r="G1814" s="1"/>
  <c r="G1812" s="1"/>
  <c r="H2859"/>
  <c r="H2857" s="1"/>
  <c r="I2859"/>
  <c r="I2857" s="1"/>
  <c r="J2859"/>
  <c r="J2857" s="1"/>
  <c r="L2859"/>
  <c r="M2859"/>
  <c r="N2859"/>
  <c r="N2857" s="1"/>
  <c r="H2875"/>
  <c r="H2863" s="1"/>
  <c r="I2875"/>
  <c r="I2863" s="1"/>
  <c r="J2875"/>
  <c r="J2863" s="1"/>
  <c r="K2875"/>
  <c r="K2863" s="1"/>
  <c r="L2875"/>
  <c r="L2863" s="1"/>
  <c r="M2875"/>
  <c r="M2863" s="1"/>
  <c r="N2875"/>
  <c r="N2863" s="1"/>
  <c r="G2875"/>
  <c r="G2863" s="1"/>
  <c r="G2859"/>
  <c r="G2857" s="1"/>
  <c r="F2865"/>
  <c r="D2865"/>
  <c r="F2863"/>
  <c r="D2863"/>
  <c r="F2859"/>
  <c r="D2859"/>
  <c r="M1794"/>
  <c r="N1794"/>
  <c r="H1787"/>
  <c r="I1787"/>
  <c r="J1787"/>
  <c r="K1787"/>
  <c r="L1787"/>
  <c r="M1787"/>
  <c r="N1787"/>
  <c r="G1787"/>
  <c r="H1774"/>
  <c r="I1774"/>
  <c r="J1774"/>
  <c r="K1774"/>
  <c r="L1774"/>
  <c r="M1774"/>
  <c r="N1774"/>
  <c r="G1774"/>
  <c r="H1761"/>
  <c r="I1761"/>
  <c r="J1761"/>
  <c r="K1761"/>
  <c r="L1761"/>
  <c r="M1761"/>
  <c r="N1761"/>
  <c r="G1761"/>
  <c r="H1746"/>
  <c r="I1746"/>
  <c r="J1746"/>
  <c r="K1746"/>
  <c r="L1746"/>
  <c r="M1746"/>
  <c r="N1746"/>
  <c r="G1746"/>
  <c r="H1740"/>
  <c r="I1740"/>
  <c r="J1740"/>
  <c r="K1740"/>
  <c r="L1740"/>
  <c r="M1740"/>
  <c r="N1740"/>
  <c r="G1740"/>
  <c r="H1716"/>
  <c r="I1716"/>
  <c r="J1716"/>
  <c r="K1716"/>
  <c r="L1716"/>
  <c r="M1716"/>
  <c r="N1716"/>
  <c r="G1716"/>
  <c r="H1710"/>
  <c r="H1748" s="1"/>
  <c r="H37" s="1"/>
  <c r="I1710"/>
  <c r="J1710"/>
  <c r="K1710"/>
  <c r="L1710"/>
  <c r="L1748" s="1"/>
  <c r="L37" s="1"/>
  <c r="M1710"/>
  <c r="N1710"/>
  <c r="G1710"/>
  <c r="H1699"/>
  <c r="I1699"/>
  <c r="J1699"/>
  <c r="K1699"/>
  <c r="L1699"/>
  <c r="M1699"/>
  <c r="N1699"/>
  <c r="G1699"/>
  <c r="H1686"/>
  <c r="I1686"/>
  <c r="J1686"/>
  <c r="K1686"/>
  <c r="L1686"/>
  <c r="M1686"/>
  <c r="N1686"/>
  <c r="G1686"/>
  <c r="H1672"/>
  <c r="I1672"/>
  <c r="J1672"/>
  <c r="K1672"/>
  <c r="L1672"/>
  <c r="M1672"/>
  <c r="N1672"/>
  <c r="G1672"/>
  <c r="H1653"/>
  <c r="I1653"/>
  <c r="J1653"/>
  <c r="K1653"/>
  <c r="L1653"/>
  <c r="M1653"/>
  <c r="N1653"/>
  <c r="G1653"/>
  <c r="H1630"/>
  <c r="I1630"/>
  <c r="J1630"/>
  <c r="K1630"/>
  <c r="L1630"/>
  <c r="M1630"/>
  <c r="N1630"/>
  <c r="G1630"/>
  <c r="H1608"/>
  <c r="I1608"/>
  <c r="J1608"/>
  <c r="K1608"/>
  <c r="L1608"/>
  <c r="M1608"/>
  <c r="N1608"/>
  <c r="G1608"/>
  <c r="H1595"/>
  <c r="I1595"/>
  <c r="J1595"/>
  <c r="K1595"/>
  <c r="L1595"/>
  <c r="M1595"/>
  <c r="N1595"/>
  <c r="G1595"/>
  <c r="H1581"/>
  <c r="I1581"/>
  <c r="J1581"/>
  <c r="K1581"/>
  <c r="L1581"/>
  <c r="M1581"/>
  <c r="N1581"/>
  <c r="G1581"/>
  <c r="H1564"/>
  <c r="I1564"/>
  <c r="J1564"/>
  <c r="K1564"/>
  <c r="L1564"/>
  <c r="M1564"/>
  <c r="N1564"/>
  <c r="G1564"/>
  <c r="H1544"/>
  <c r="I1544"/>
  <c r="J1544"/>
  <c r="K1544"/>
  <c r="L1544"/>
  <c r="M1544"/>
  <c r="N1544"/>
  <c r="G1544"/>
  <c r="H1522"/>
  <c r="I1522"/>
  <c r="J1522"/>
  <c r="K1522"/>
  <c r="L1522"/>
  <c r="M1522"/>
  <c r="N1522"/>
  <c r="G1522"/>
  <c r="H1512"/>
  <c r="I1512"/>
  <c r="J1512"/>
  <c r="K1512"/>
  <c r="L1512"/>
  <c r="M1512"/>
  <c r="N1512"/>
  <c r="G1512"/>
  <c r="H1501"/>
  <c r="I1501"/>
  <c r="J1501"/>
  <c r="K1501"/>
  <c r="L1501"/>
  <c r="M1501"/>
  <c r="N1501"/>
  <c r="G1501"/>
  <c r="H1483"/>
  <c r="I1483"/>
  <c r="J1483"/>
  <c r="K1483"/>
  <c r="L1483"/>
  <c r="M1483"/>
  <c r="N1483"/>
  <c r="G1483"/>
  <c r="H1468"/>
  <c r="I1468"/>
  <c r="J1468"/>
  <c r="K1468"/>
  <c r="L1468"/>
  <c r="M1468"/>
  <c r="N1468"/>
  <c r="G1468"/>
  <c r="H1446"/>
  <c r="I1446"/>
  <c r="J1446"/>
  <c r="K1446"/>
  <c r="L1446"/>
  <c r="M1446"/>
  <c r="N1446"/>
  <c r="G1446"/>
  <c r="H1436"/>
  <c r="I1436"/>
  <c r="J1436"/>
  <c r="K1436"/>
  <c r="L1436"/>
  <c r="M1436"/>
  <c r="N1436"/>
  <c r="G1436"/>
  <c r="H1425"/>
  <c r="I1425"/>
  <c r="J1425"/>
  <c r="K1425"/>
  <c r="L1425"/>
  <c r="M1425"/>
  <c r="N1425"/>
  <c r="G1425"/>
  <c r="H1408"/>
  <c r="I1408"/>
  <c r="J1408"/>
  <c r="K1408"/>
  <c r="L1408"/>
  <c r="M1408"/>
  <c r="N1408"/>
  <c r="G1408"/>
  <c r="H1391"/>
  <c r="I1391"/>
  <c r="J1391"/>
  <c r="K1391"/>
  <c r="L1391"/>
  <c r="M1391"/>
  <c r="N1391"/>
  <c r="G1391"/>
  <c r="H1369"/>
  <c r="I1369"/>
  <c r="J1369"/>
  <c r="K1369"/>
  <c r="L1369"/>
  <c r="M1369"/>
  <c r="N1369"/>
  <c r="G1369"/>
  <c r="H1353"/>
  <c r="I1353"/>
  <c r="J1353"/>
  <c r="K1353"/>
  <c r="L1353"/>
  <c r="M1353"/>
  <c r="N1353"/>
  <c r="G1353"/>
  <c r="H1332"/>
  <c r="I1332"/>
  <c r="J1332"/>
  <c r="K1332"/>
  <c r="L1332"/>
  <c r="M1332"/>
  <c r="N1332"/>
  <c r="G1332"/>
  <c r="H1314"/>
  <c r="I1314"/>
  <c r="J1314"/>
  <c r="K1314"/>
  <c r="L1314"/>
  <c r="M1314"/>
  <c r="N1314"/>
  <c r="G1314"/>
  <c r="H1291"/>
  <c r="I1291"/>
  <c r="J1291"/>
  <c r="K1291"/>
  <c r="L1291"/>
  <c r="M1291"/>
  <c r="N1291"/>
  <c r="G1291"/>
  <c r="H1269"/>
  <c r="I1269"/>
  <c r="J1269"/>
  <c r="K1269"/>
  <c r="L1269"/>
  <c r="M1269"/>
  <c r="N1269"/>
  <c r="G1269"/>
  <c r="H1256"/>
  <c r="I1256"/>
  <c r="J1256"/>
  <c r="K1256"/>
  <c r="L1256"/>
  <c r="M1256"/>
  <c r="N1256"/>
  <c r="G1256"/>
  <c r="H1238"/>
  <c r="I1238"/>
  <c r="J1238"/>
  <c r="K1238"/>
  <c r="L1238"/>
  <c r="M1238"/>
  <c r="N1238"/>
  <c r="G1238"/>
  <c r="H1214"/>
  <c r="I1214"/>
  <c r="J1214"/>
  <c r="K1214"/>
  <c r="L1214"/>
  <c r="M1214"/>
  <c r="N1214"/>
  <c r="G1214"/>
  <c r="H1190"/>
  <c r="I1190"/>
  <c r="J1190"/>
  <c r="K1190"/>
  <c r="L1190"/>
  <c r="M1190"/>
  <c r="N1190"/>
  <c r="G1190"/>
  <c r="H1168"/>
  <c r="I1168"/>
  <c r="J1168"/>
  <c r="K1168"/>
  <c r="L1168"/>
  <c r="M1168"/>
  <c r="N1168"/>
  <c r="G1168"/>
  <c r="H1157"/>
  <c r="I1157"/>
  <c r="J1157"/>
  <c r="K1157"/>
  <c r="L1157"/>
  <c r="M1157"/>
  <c r="N1157"/>
  <c r="G1157"/>
  <c r="H1143"/>
  <c r="I1143"/>
  <c r="J1143"/>
  <c r="K1143"/>
  <c r="L1143"/>
  <c r="M1143"/>
  <c r="N1143"/>
  <c r="G1143"/>
  <c r="H1127"/>
  <c r="I1127"/>
  <c r="J1127"/>
  <c r="K1127"/>
  <c r="L1127"/>
  <c r="M1127"/>
  <c r="N1127"/>
  <c r="G1127"/>
  <c r="H1107"/>
  <c r="I1107"/>
  <c r="J1107"/>
  <c r="K1107"/>
  <c r="L1107"/>
  <c r="M1107"/>
  <c r="N1107"/>
  <c r="G1107"/>
  <c r="H1089"/>
  <c r="I1089"/>
  <c r="J1089"/>
  <c r="K1089"/>
  <c r="L1089"/>
  <c r="M1089"/>
  <c r="N1089"/>
  <c r="G1089"/>
  <c r="H1079"/>
  <c r="I1079"/>
  <c r="J1079"/>
  <c r="K1079"/>
  <c r="L1079"/>
  <c r="M1079"/>
  <c r="N1079"/>
  <c r="G1079"/>
  <c r="H1067"/>
  <c r="I1067"/>
  <c r="J1067"/>
  <c r="K1067"/>
  <c r="L1067"/>
  <c r="M1067"/>
  <c r="N1067"/>
  <c r="G1067"/>
  <c r="H1045"/>
  <c r="I1045"/>
  <c r="J1045"/>
  <c r="K1045"/>
  <c r="L1045"/>
  <c r="M1045"/>
  <c r="N1045"/>
  <c r="G1045"/>
  <c r="H1030"/>
  <c r="I1030"/>
  <c r="J1030"/>
  <c r="K1030"/>
  <c r="L1030"/>
  <c r="M1030"/>
  <c r="N1030"/>
  <c r="G1030"/>
  <c r="H1008"/>
  <c r="I1008"/>
  <c r="J1008"/>
  <c r="K1008"/>
  <c r="L1008"/>
  <c r="M1008"/>
  <c r="N1008"/>
  <c r="G1008"/>
  <c r="H994"/>
  <c r="I994"/>
  <c r="J994"/>
  <c r="K994"/>
  <c r="L994"/>
  <c r="M994"/>
  <c r="N994"/>
  <c r="G994"/>
  <c r="H974"/>
  <c r="I974"/>
  <c r="J974"/>
  <c r="K974"/>
  <c r="L974"/>
  <c r="M974"/>
  <c r="N974"/>
  <c r="G974"/>
  <c r="H956"/>
  <c r="I956"/>
  <c r="J956"/>
  <c r="K956"/>
  <c r="L956"/>
  <c r="M956"/>
  <c r="N956"/>
  <c r="G956"/>
  <c r="H933"/>
  <c r="I933"/>
  <c r="J933"/>
  <c r="K933"/>
  <c r="L933"/>
  <c r="M933"/>
  <c r="N933"/>
  <c r="G933"/>
  <c r="H911"/>
  <c r="I911"/>
  <c r="J911"/>
  <c r="K911"/>
  <c r="L911"/>
  <c r="M911"/>
  <c r="N911"/>
  <c r="G911"/>
  <c r="H895"/>
  <c r="I895"/>
  <c r="J895"/>
  <c r="K895"/>
  <c r="L895"/>
  <c r="M895"/>
  <c r="N895"/>
  <c r="G895"/>
  <c r="H875"/>
  <c r="I875"/>
  <c r="J875"/>
  <c r="K875"/>
  <c r="L875"/>
  <c r="M875"/>
  <c r="N875"/>
  <c r="G875"/>
  <c r="H851"/>
  <c r="I851"/>
  <c r="J851"/>
  <c r="K851"/>
  <c r="L851"/>
  <c r="M851"/>
  <c r="N851"/>
  <c r="G851"/>
  <c r="H825"/>
  <c r="I825"/>
  <c r="J825"/>
  <c r="K825"/>
  <c r="L825"/>
  <c r="M825"/>
  <c r="N825"/>
  <c r="G825"/>
  <c r="H803"/>
  <c r="I803"/>
  <c r="J803"/>
  <c r="K803"/>
  <c r="L803"/>
  <c r="M803"/>
  <c r="N803"/>
  <c r="G803"/>
  <c r="H790"/>
  <c r="I790"/>
  <c r="J790"/>
  <c r="K790"/>
  <c r="L790"/>
  <c r="M790"/>
  <c r="N790"/>
  <c r="G790"/>
  <c r="H773"/>
  <c r="I773"/>
  <c r="J773"/>
  <c r="K773"/>
  <c r="L773"/>
  <c r="M773"/>
  <c r="N773"/>
  <c r="G773"/>
  <c r="H749"/>
  <c r="I749"/>
  <c r="J749"/>
  <c r="K749"/>
  <c r="L749"/>
  <c r="M749"/>
  <c r="N749"/>
  <c r="G749"/>
  <c r="H723"/>
  <c r="I723"/>
  <c r="J723"/>
  <c r="K723"/>
  <c r="L723"/>
  <c r="M723"/>
  <c r="N723"/>
  <c r="G723"/>
  <c r="H699"/>
  <c r="I699"/>
  <c r="J699"/>
  <c r="K699"/>
  <c r="L699"/>
  <c r="M699"/>
  <c r="N699"/>
  <c r="G699"/>
  <c r="H687"/>
  <c r="I687"/>
  <c r="J687"/>
  <c r="K687"/>
  <c r="L687"/>
  <c r="M687"/>
  <c r="N687"/>
  <c r="G687"/>
  <c r="H670"/>
  <c r="I670"/>
  <c r="J670"/>
  <c r="K670"/>
  <c r="L670"/>
  <c r="M670"/>
  <c r="N670"/>
  <c r="G670"/>
  <c r="H651"/>
  <c r="I651"/>
  <c r="J651"/>
  <c r="K651"/>
  <c r="L651"/>
  <c r="M651"/>
  <c r="N651"/>
  <c r="G651"/>
  <c r="H628"/>
  <c r="I628"/>
  <c r="J628"/>
  <c r="K628"/>
  <c r="L628"/>
  <c r="M628"/>
  <c r="N628"/>
  <c r="G628"/>
  <c r="H605"/>
  <c r="I605"/>
  <c r="J605"/>
  <c r="K605"/>
  <c r="L605"/>
  <c r="M605"/>
  <c r="N605"/>
  <c r="G605"/>
  <c r="H592"/>
  <c r="I592"/>
  <c r="J592"/>
  <c r="K592"/>
  <c r="L592"/>
  <c r="M592"/>
  <c r="N592"/>
  <c r="G592"/>
  <c r="H570"/>
  <c r="I570"/>
  <c r="J570"/>
  <c r="K570"/>
  <c r="L570"/>
  <c r="M570"/>
  <c r="N570"/>
  <c r="G570"/>
  <c r="H549"/>
  <c r="I549"/>
  <c r="J549"/>
  <c r="K549"/>
  <c r="L549"/>
  <c r="M549"/>
  <c r="N549"/>
  <c r="G549"/>
  <c r="H526"/>
  <c r="I526"/>
  <c r="J526"/>
  <c r="K526"/>
  <c r="L526"/>
  <c r="M526"/>
  <c r="N526"/>
  <c r="G526"/>
  <c r="H504"/>
  <c r="I504"/>
  <c r="J504"/>
  <c r="K504"/>
  <c r="L504"/>
  <c r="M504"/>
  <c r="N504"/>
  <c r="G504"/>
  <c r="H493"/>
  <c r="I493"/>
  <c r="J493"/>
  <c r="K493"/>
  <c r="L493"/>
  <c r="M493"/>
  <c r="N493"/>
  <c r="G493"/>
  <c r="H485"/>
  <c r="I485"/>
  <c r="J485"/>
  <c r="K485"/>
  <c r="L485"/>
  <c r="M485"/>
  <c r="N485"/>
  <c r="G485"/>
  <c r="H470"/>
  <c r="I470"/>
  <c r="J470"/>
  <c r="K470"/>
  <c r="L470"/>
  <c r="M470"/>
  <c r="N470"/>
  <c r="G470"/>
  <c r="H452"/>
  <c r="I452"/>
  <c r="J452"/>
  <c r="K452"/>
  <c r="L452"/>
  <c r="M452"/>
  <c r="N452"/>
  <c r="G452"/>
  <c r="H430"/>
  <c r="I430"/>
  <c r="J430"/>
  <c r="K430"/>
  <c r="L430"/>
  <c r="M430"/>
  <c r="N430"/>
  <c r="G430"/>
  <c r="H421"/>
  <c r="I421"/>
  <c r="J421"/>
  <c r="K421"/>
  <c r="L421"/>
  <c r="M421"/>
  <c r="N421"/>
  <c r="G421"/>
  <c r="H410"/>
  <c r="I410"/>
  <c r="J410"/>
  <c r="K410"/>
  <c r="L410"/>
  <c r="M410"/>
  <c r="N410"/>
  <c r="G410"/>
  <c r="H396"/>
  <c r="I396"/>
  <c r="J396"/>
  <c r="K396"/>
  <c r="L396"/>
  <c r="M396"/>
  <c r="N396"/>
  <c r="G396"/>
  <c r="H383"/>
  <c r="I383"/>
  <c r="J383"/>
  <c r="K383"/>
  <c r="L383"/>
  <c r="M383"/>
  <c r="N383"/>
  <c r="G383"/>
  <c r="H361"/>
  <c r="I361"/>
  <c r="J361"/>
  <c r="K361"/>
  <c r="L361"/>
  <c r="M361"/>
  <c r="N361"/>
  <c r="G361"/>
  <c r="H355"/>
  <c r="I355"/>
  <c r="J355"/>
  <c r="K355"/>
  <c r="L355"/>
  <c r="M355"/>
  <c r="N355"/>
  <c r="G355"/>
  <c r="H344"/>
  <c r="I344"/>
  <c r="J344"/>
  <c r="K344"/>
  <c r="L344"/>
  <c r="M344"/>
  <c r="N344"/>
  <c r="G344"/>
  <c r="H324"/>
  <c r="I324"/>
  <c r="J324"/>
  <c r="K324"/>
  <c r="L324"/>
  <c r="M324"/>
  <c r="N324"/>
  <c r="G324"/>
  <c r="H306"/>
  <c r="I306"/>
  <c r="J306"/>
  <c r="K306"/>
  <c r="L306"/>
  <c r="M306"/>
  <c r="N306"/>
  <c r="N363" s="1"/>
  <c r="N21" s="1"/>
  <c r="F21" i="5" s="1"/>
  <c r="G306" i="1"/>
  <c r="H284"/>
  <c r="I284"/>
  <c r="J284"/>
  <c r="K284"/>
  <c r="L284"/>
  <c r="M284"/>
  <c r="N284"/>
  <c r="G284"/>
  <c r="H278"/>
  <c r="I278"/>
  <c r="J278"/>
  <c r="K278"/>
  <c r="L278"/>
  <c r="M278"/>
  <c r="N278"/>
  <c r="G278"/>
  <c r="H263"/>
  <c r="I263"/>
  <c r="J263"/>
  <c r="K263"/>
  <c r="L263"/>
  <c r="M263"/>
  <c r="N263"/>
  <c r="G263"/>
  <c r="H243"/>
  <c r="I243"/>
  <c r="J243"/>
  <c r="K243"/>
  <c r="L243"/>
  <c r="M243"/>
  <c r="N243"/>
  <c r="G243"/>
  <c r="H220"/>
  <c r="I220"/>
  <c r="J220"/>
  <c r="K220"/>
  <c r="L220"/>
  <c r="M220"/>
  <c r="N220"/>
  <c r="G220"/>
  <c r="H198"/>
  <c r="I198"/>
  <c r="J198"/>
  <c r="K198"/>
  <c r="L198"/>
  <c r="M198"/>
  <c r="N198"/>
  <c r="G198"/>
  <c r="H187"/>
  <c r="I187"/>
  <c r="J187"/>
  <c r="K187"/>
  <c r="L187"/>
  <c r="M187"/>
  <c r="N187"/>
  <c r="G187"/>
  <c r="H168"/>
  <c r="I168"/>
  <c r="J168"/>
  <c r="K168"/>
  <c r="L168"/>
  <c r="M168"/>
  <c r="N168"/>
  <c r="G168"/>
  <c r="H152"/>
  <c r="I152"/>
  <c r="J152"/>
  <c r="K152"/>
  <c r="L152"/>
  <c r="M152"/>
  <c r="N152"/>
  <c r="G152"/>
  <c r="H136"/>
  <c r="I136"/>
  <c r="J136"/>
  <c r="K136"/>
  <c r="L136"/>
  <c r="M136"/>
  <c r="N136"/>
  <c r="G136"/>
  <c r="H130"/>
  <c r="I130"/>
  <c r="J130"/>
  <c r="K130"/>
  <c r="L130"/>
  <c r="M130"/>
  <c r="N130"/>
  <c r="G130"/>
  <c r="M110"/>
  <c r="N110"/>
  <c r="D3694"/>
  <c r="F3694"/>
  <c r="D3647"/>
  <c r="F3647"/>
  <c r="D3594"/>
  <c r="F3594"/>
  <c r="D3544"/>
  <c r="F3544"/>
  <c r="D3496"/>
  <c r="F3496"/>
  <c r="D3449"/>
  <c r="F3449"/>
  <c r="D3397"/>
  <c r="F3397"/>
  <c r="D3354"/>
  <c r="F3354"/>
  <c r="D3311"/>
  <c r="F3311"/>
  <c r="D3267"/>
  <c r="F3267"/>
  <c r="D3224"/>
  <c r="F3224"/>
  <c r="D3181"/>
  <c r="F3181"/>
  <c r="D3137"/>
  <c r="F3137"/>
  <c r="D3095"/>
  <c r="F3095"/>
  <c r="D3040"/>
  <c r="F3040"/>
  <c r="D2992"/>
  <c r="F2992"/>
  <c r="D2901"/>
  <c r="F2901"/>
  <c r="D2813"/>
  <c r="F2813"/>
  <c r="D2742"/>
  <c r="F2742"/>
  <c r="F2534"/>
  <c r="D2534"/>
  <c r="D2429"/>
  <c r="F2429"/>
  <c r="D2381"/>
  <c r="F2381"/>
  <c r="D1828"/>
  <c r="F1828"/>
  <c r="D42"/>
  <c r="F42"/>
  <c r="I3686"/>
  <c r="I3684" s="1"/>
  <c r="K3686"/>
  <c r="M3686"/>
  <c r="G3686"/>
  <c r="G3684" s="1"/>
  <c r="H3639"/>
  <c r="H3637" s="1"/>
  <c r="I3639"/>
  <c r="I3637" s="1"/>
  <c r="J3639"/>
  <c r="J3637" s="1"/>
  <c r="G3639"/>
  <c r="G3637" s="1"/>
  <c r="I3584"/>
  <c r="I3582" s="1"/>
  <c r="K3584"/>
  <c r="M3584"/>
  <c r="H3536"/>
  <c r="H3534" s="1"/>
  <c r="I3536"/>
  <c r="I3534" s="1"/>
  <c r="J3536"/>
  <c r="J3534" s="1"/>
  <c r="K3536"/>
  <c r="L3536"/>
  <c r="M3536"/>
  <c r="N3536"/>
  <c r="G3536"/>
  <c r="G3534" s="1"/>
  <c r="H3488"/>
  <c r="H3486" s="1"/>
  <c r="I3488"/>
  <c r="I3486" s="1"/>
  <c r="J3488"/>
  <c r="J3486" s="1"/>
  <c r="K3488"/>
  <c r="L3488"/>
  <c r="M3488"/>
  <c r="N3488"/>
  <c r="G3488"/>
  <c r="G3486" s="1"/>
  <c r="H3441"/>
  <c r="H3439" s="1"/>
  <c r="I3441"/>
  <c r="I3439" s="1"/>
  <c r="J3441"/>
  <c r="J3439" s="1"/>
  <c r="K3441"/>
  <c r="L3441"/>
  <c r="M3441"/>
  <c r="N3441"/>
  <c r="N3439" s="1"/>
  <c r="G3441"/>
  <c r="G3439" s="1"/>
  <c r="H3389"/>
  <c r="H3387" s="1"/>
  <c r="I3389"/>
  <c r="I3387" s="1"/>
  <c r="J3389"/>
  <c r="J3387" s="1"/>
  <c r="K3389"/>
  <c r="L3389"/>
  <c r="M3389"/>
  <c r="N3389"/>
  <c r="G3389"/>
  <c r="G3387" s="1"/>
  <c r="H3346"/>
  <c r="H3344" s="1"/>
  <c r="I3346"/>
  <c r="I3344" s="1"/>
  <c r="J3346"/>
  <c r="J3344" s="1"/>
  <c r="K3346"/>
  <c r="L3346"/>
  <c r="M3346"/>
  <c r="N3346"/>
  <c r="G3346"/>
  <c r="G3344" s="1"/>
  <c r="H3303"/>
  <c r="H3301" s="1"/>
  <c r="I3303"/>
  <c r="I3301" s="1"/>
  <c r="J3303"/>
  <c r="J3301" s="1"/>
  <c r="K3303"/>
  <c r="L3303"/>
  <c r="M3303"/>
  <c r="N3303"/>
  <c r="G3303"/>
  <c r="G3301" s="1"/>
  <c r="H3259"/>
  <c r="H3257" s="1"/>
  <c r="I3259"/>
  <c r="I3257" s="1"/>
  <c r="J3259"/>
  <c r="J3257" s="1"/>
  <c r="K3259"/>
  <c r="L3259"/>
  <c r="M3259"/>
  <c r="N3259"/>
  <c r="G3259"/>
  <c r="G3257" s="1"/>
  <c r="H3216"/>
  <c r="H3214" s="1"/>
  <c r="I3216"/>
  <c r="I3214" s="1"/>
  <c r="J3216"/>
  <c r="J3214" s="1"/>
  <c r="K3216"/>
  <c r="L3216"/>
  <c r="M3216"/>
  <c r="N3216"/>
  <c r="G3216"/>
  <c r="G3214" s="1"/>
  <c r="H3173"/>
  <c r="H3171" s="1"/>
  <c r="I3173"/>
  <c r="I3171" s="1"/>
  <c r="J3173"/>
  <c r="J3171" s="1"/>
  <c r="K3173"/>
  <c r="L3173"/>
  <c r="M3173"/>
  <c r="N3173"/>
  <c r="G3173"/>
  <c r="G3171" s="1"/>
  <c r="H3129"/>
  <c r="H3127" s="1"/>
  <c r="I3129"/>
  <c r="I3127" s="1"/>
  <c r="J3129"/>
  <c r="J3127" s="1"/>
  <c r="K3129"/>
  <c r="L3129"/>
  <c r="M3129"/>
  <c r="N3129"/>
  <c r="G3129"/>
  <c r="G3127" s="1"/>
  <c r="H3087"/>
  <c r="H3085" s="1"/>
  <c r="I3087"/>
  <c r="I3085" s="1"/>
  <c r="J3087"/>
  <c r="J3085" s="1"/>
  <c r="L3087"/>
  <c r="M3087"/>
  <c r="N3087"/>
  <c r="G3087"/>
  <c r="G3085" s="1"/>
  <c r="H3032"/>
  <c r="H3030" s="1"/>
  <c r="I3032"/>
  <c r="I3030" s="1"/>
  <c r="J3032"/>
  <c r="J3030" s="1"/>
  <c r="K3032"/>
  <c r="L3032"/>
  <c r="M3032"/>
  <c r="N3032"/>
  <c r="N3030" s="1"/>
  <c r="G3032"/>
  <c r="G3030" s="1"/>
  <c r="H2893"/>
  <c r="H2891" s="1"/>
  <c r="I2893"/>
  <c r="I2891" s="1"/>
  <c r="J2893"/>
  <c r="J2891" s="1"/>
  <c r="G2893"/>
  <c r="G2891" s="1"/>
  <c r="H2805"/>
  <c r="H2803" s="1"/>
  <c r="I2805"/>
  <c r="I2803" s="1"/>
  <c r="J2805"/>
  <c r="J2803" s="1"/>
  <c r="K2805"/>
  <c r="L2805"/>
  <c r="M2805"/>
  <c r="N2805"/>
  <c r="G2805"/>
  <c r="G2803" s="1"/>
  <c r="H2734"/>
  <c r="H2732" s="1"/>
  <c r="I2734"/>
  <c r="I2732" s="1"/>
  <c r="J2734"/>
  <c r="J2732" s="1"/>
  <c r="K2734"/>
  <c r="L2734"/>
  <c r="M2734"/>
  <c r="N2734"/>
  <c r="G2734"/>
  <c r="G2732" s="1"/>
  <c r="H2681"/>
  <c r="H2679" s="1"/>
  <c r="L2681"/>
  <c r="H2637"/>
  <c r="H2635" s="1"/>
  <c r="I2637"/>
  <c r="I2635" s="1"/>
  <c r="J2637"/>
  <c r="J2635" s="1"/>
  <c r="L2637"/>
  <c r="M2637"/>
  <c r="N2637"/>
  <c r="G2637"/>
  <c r="G2635" s="1"/>
  <c r="H2523"/>
  <c r="H2521" s="1"/>
  <c r="J2523"/>
  <c r="J2521" s="1"/>
  <c r="L2523"/>
  <c r="N2523"/>
  <c r="H2421"/>
  <c r="H2419" s="1"/>
  <c r="I2421"/>
  <c r="I2419" s="1"/>
  <c r="J2421"/>
  <c r="J2419" s="1"/>
  <c r="L2421"/>
  <c r="M2421"/>
  <c r="N2421"/>
  <c r="H2373"/>
  <c r="H2371" s="1"/>
  <c r="J2373"/>
  <c r="J2371" s="1"/>
  <c r="L2373"/>
  <c r="N2373"/>
  <c r="J1814"/>
  <c r="J1812" s="1"/>
  <c r="D3032"/>
  <c r="F3686"/>
  <c r="D3686"/>
  <c r="F3639"/>
  <c r="D3639"/>
  <c r="F3584"/>
  <c r="D3584"/>
  <c r="F3536"/>
  <c r="D3536"/>
  <c r="F3488"/>
  <c r="D3488"/>
  <c r="F3441"/>
  <c r="D3441"/>
  <c r="F3389"/>
  <c r="D3389"/>
  <c r="F3346"/>
  <c r="D3346"/>
  <c r="F3303"/>
  <c r="D3303"/>
  <c r="F3259"/>
  <c r="D3259"/>
  <c r="F3216"/>
  <c r="D3216"/>
  <c r="F3173"/>
  <c r="D3173"/>
  <c r="F3129"/>
  <c r="D3129"/>
  <c r="F3087"/>
  <c r="D3087"/>
  <c r="F3032"/>
  <c r="F2893"/>
  <c r="D2893"/>
  <c r="F2805"/>
  <c r="D2805"/>
  <c r="F2734"/>
  <c r="D2734"/>
  <c r="F2681"/>
  <c r="D2681"/>
  <c r="F2637"/>
  <c r="D2637"/>
  <c r="F2523"/>
  <c r="D2523"/>
  <c r="F2421"/>
  <c r="D2421"/>
  <c r="F2373"/>
  <c r="D2373"/>
  <c r="F1814"/>
  <c r="D1814"/>
  <c r="F1826"/>
  <c r="D1826"/>
  <c r="F2379"/>
  <c r="D2379"/>
  <c r="F2427"/>
  <c r="D2427"/>
  <c r="F2532"/>
  <c r="D2532"/>
  <c r="F2643"/>
  <c r="D2643"/>
  <c r="F2687"/>
  <c r="D2687"/>
  <c r="F2740"/>
  <c r="D2740"/>
  <c r="F2811"/>
  <c r="D2811"/>
  <c r="F2899"/>
  <c r="D2899"/>
  <c r="F2990"/>
  <c r="D2990"/>
  <c r="F3038"/>
  <c r="D3038"/>
  <c r="F3093"/>
  <c r="D3093"/>
  <c r="F3135"/>
  <c r="D3135"/>
  <c r="F3179"/>
  <c r="D3179"/>
  <c r="F3222"/>
  <c r="D3222"/>
  <c r="F3265"/>
  <c r="D3265"/>
  <c r="F3309"/>
  <c r="D3309"/>
  <c r="F3352"/>
  <c r="D3352"/>
  <c r="F3395"/>
  <c r="D3395"/>
  <c r="F3447"/>
  <c r="D3447"/>
  <c r="F3494"/>
  <c r="D3494"/>
  <c r="F3542"/>
  <c r="D3542"/>
  <c r="F3592"/>
  <c r="D3592"/>
  <c r="F3645"/>
  <c r="D3645"/>
  <c r="F3692"/>
  <c r="D3692"/>
  <c r="F2689"/>
  <c r="F2665" s="1"/>
  <c r="F2645" s="1"/>
  <c r="D2689"/>
  <c r="D2645"/>
  <c r="M2714"/>
  <c r="M2716" s="1"/>
  <c r="K2714"/>
  <c r="K2716" s="1"/>
  <c r="I2714"/>
  <c r="I2716" s="1"/>
  <c r="N2714"/>
  <c r="N2716" s="1"/>
  <c r="J2714"/>
  <c r="J2716" s="1"/>
  <c r="L2425"/>
  <c r="J2425"/>
  <c r="H2425"/>
  <c r="N2425"/>
  <c r="N3717"/>
  <c r="N3719" s="1"/>
  <c r="N3694" s="1"/>
  <c r="L3717"/>
  <c r="L3719" s="1"/>
  <c r="L3694" s="1"/>
  <c r="J3717"/>
  <c r="J3719" s="1"/>
  <c r="J3694" s="1"/>
  <c r="H3717"/>
  <c r="H3719" s="1"/>
  <c r="H3694" s="1"/>
  <c r="G3717"/>
  <c r="G3719" s="1"/>
  <c r="G3694" s="1"/>
  <c r="G3690"/>
  <c r="M3717"/>
  <c r="M3692" s="1"/>
  <c r="M3690"/>
  <c r="K3717"/>
  <c r="K3719" s="1"/>
  <c r="K3694" s="1"/>
  <c r="K3690"/>
  <c r="I3717"/>
  <c r="I3719" s="1"/>
  <c r="I3694" s="1"/>
  <c r="I3690"/>
  <c r="N3621"/>
  <c r="N3590" s="1"/>
  <c r="J3621"/>
  <c r="J3623" s="1"/>
  <c r="J3625" s="1"/>
  <c r="J3594" s="1"/>
  <c r="H3621"/>
  <c r="H3590" s="1"/>
  <c r="G3621"/>
  <c r="G3623" s="1"/>
  <c r="K3621"/>
  <c r="K3623" s="1"/>
  <c r="N3566"/>
  <c r="N3542" s="1"/>
  <c r="L3566"/>
  <c r="L3542" s="1"/>
  <c r="J3566"/>
  <c r="J3542" s="1"/>
  <c r="H3566"/>
  <c r="H3542" s="1"/>
  <c r="L3643"/>
  <c r="J3643"/>
  <c r="H3643"/>
  <c r="G3566"/>
  <c r="G3542" s="1"/>
  <c r="G3540"/>
  <c r="M3566"/>
  <c r="M3568" s="1"/>
  <c r="M3544" s="1"/>
  <c r="M3540"/>
  <c r="K3566"/>
  <c r="K3568" s="1"/>
  <c r="K3544" s="1"/>
  <c r="K3540"/>
  <c r="I3566"/>
  <c r="I3568" s="1"/>
  <c r="I3544" s="1"/>
  <c r="I3540"/>
  <c r="G3643"/>
  <c r="M3668"/>
  <c r="M3645" s="1"/>
  <c r="K3668"/>
  <c r="K3645" s="1"/>
  <c r="K3643"/>
  <c r="I3668"/>
  <c r="I3645" s="1"/>
  <c r="I3643"/>
  <c r="G3584"/>
  <c r="G3582" s="1"/>
  <c r="N3445"/>
  <c r="L3445"/>
  <c r="J3445"/>
  <c r="H3445"/>
  <c r="N3492"/>
  <c r="L3492"/>
  <c r="J3492"/>
  <c r="H3492"/>
  <c r="G3470"/>
  <c r="G3472" s="1"/>
  <c r="G3449" s="1"/>
  <c r="G3445"/>
  <c r="M3470"/>
  <c r="M3472" s="1"/>
  <c r="M3445"/>
  <c r="K3470"/>
  <c r="K3472" s="1"/>
  <c r="K3449" s="1"/>
  <c r="K3445"/>
  <c r="I3470"/>
  <c r="I3472" s="1"/>
  <c r="I3449" s="1"/>
  <c r="I3445"/>
  <c r="G3518"/>
  <c r="G3494" s="1"/>
  <c r="G3492"/>
  <c r="M3518"/>
  <c r="M3520" s="1"/>
  <c r="M3496" s="1"/>
  <c r="M3492"/>
  <c r="K3518"/>
  <c r="K3520" s="1"/>
  <c r="K3496" s="1"/>
  <c r="K3492"/>
  <c r="I3518"/>
  <c r="I3520" s="1"/>
  <c r="I3496" s="1"/>
  <c r="I3492"/>
  <c r="L3421"/>
  <c r="L3423" s="1"/>
  <c r="H3421"/>
  <c r="H3393" s="1"/>
  <c r="G3421"/>
  <c r="G3423" s="1"/>
  <c r="G3425" s="1"/>
  <c r="G3397" s="1"/>
  <c r="M3421"/>
  <c r="M3423" s="1"/>
  <c r="K3421"/>
  <c r="K3423" s="1"/>
  <c r="I3421"/>
  <c r="I3393" s="1"/>
  <c r="N3263"/>
  <c r="L3263"/>
  <c r="J3263"/>
  <c r="H3263"/>
  <c r="N3307"/>
  <c r="L3307"/>
  <c r="J3307"/>
  <c r="H3307"/>
  <c r="N3350"/>
  <c r="L3350"/>
  <c r="J3350"/>
  <c r="H3350"/>
  <c r="G3285"/>
  <c r="G3287" s="1"/>
  <c r="G3267" s="1"/>
  <c r="G3263"/>
  <c r="M3285"/>
  <c r="M3287" s="1"/>
  <c r="M3267" s="1"/>
  <c r="M3263"/>
  <c r="K3285"/>
  <c r="K3287" s="1"/>
  <c r="K3267" s="1"/>
  <c r="K3263"/>
  <c r="I3285"/>
  <c r="I3287" s="1"/>
  <c r="I3267" s="1"/>
  <c r="I3263"/>
  <c r="G3328"/>
  <c r="G3309" s="1"/>
  <c r="G3307"/>
  <c r="M3328"/>
  <c r="M3330" s="1"/>
  <c r="M3311" s="1"/>
  <c r="M3307"/>
  <c r="K3328"/>
  <c r="K3330" s="1"/>
  <c r="K3311" s="1"/>
  <c r="K3307"/>
  <c r="I3328"/>
  <c r="I3330" s="1"/>
  <c r="I3311" s="1"/>
  <c r="I3307"/>
  <c r="G3371"/>
  <c r="G3373" s="1"/>
  <c r="G3354" s="1"/>
  <c r="G3350"/>
  <c r="M3371"/>
  <c r="M3352" s="1"/>
  <c r="M3350"/>
  <c r="K3371"/>
  <c r="K3352" s="1"/>
  <c r="K3350"/>
  <c r="I3371"/>
  <c r="I3352" s="1"/>
  <c r="I3350"/>
  <c r="N3177"/>
  <c r="L3177"/>
  <c r="J3177"/>
  <c r="H3177"/>
  <c r="N3220"/>
  <c r="L3220"/>
  <c r="J3220"/>
  <c r="H3220"/>
  <c r="G3198"/>
  <c r="G3200" s="1"/>
  <c r="G3181" s="1"/>
  <c r="G3177"/>
  <c r="M3198"/>
  <c r="M3200" s="1"/>
  <c r="M3181" s="1"/>
  <c r="M3177"/>
  <c r="K3198"/>
  <c r="K3200" s="1"/>
  <c r="K3181" s="1"/>
  <c r="K3177"/>
  <c r="I3198"/>
  <c r="I3200" s="1"/>
  <c r="I3181" s="1"/>
  <c r="I3177"/>
  <c r="G3241"/>
  <c r="G3222" s="1"/>
  <c r="G3220"/>
  <c r="M3241"/>
  <c r="M3243" s="1"/>
  <c r="M3224" s="1"/>
  <c r="M3220"/>
  <c r="K3241"/>
  <c r="K3243" s="1"/>
  <c r="K3224" s="1"/>
  <c r="K3220"/>
  <c r="I3241"/>
  <c r="I3243" s="1"/>
  <c r="I3224" s="1"/>
  <c r="I3220"/>
  <c r="G3155"/>
  <c r="G3135" s="1"/>
  <c r="G3133"/>
  <c r="M3155"/>
  <c r="M3157" s="1"/>
  <c r="M3137" s="1"/>
  <c r="M3133"/>
  <c r="K3155"/>
  <c r="K3157" s="1"/>
  <c r="K3137" s="1"/>
  <c r="K3133"/>
  <c r="I3155"/>
  <c r="I3157" s="1"/>
  <c r="I3137" s="1"/>
  <c r="I3133"/>
  <c r="N3155"/>
  <c r="N3157" s="1"/>
  <c r="N3137" s="1"/>
  <c r="L3155"/>
  <c r="L3157" s="1"/>
  <c r="L3137" s="1"/>
  <c r="J3155"/>
  <c r="J3157" s="1"/>
  <c r="J3137" s="1"/>
  <c r="H3155"/>
  <c r="H3157" s="1"/>
  <c r="H3137" s="1"/>
  <c r="L3014"/>
  <c r="L2990" s="1"/>
  <c r="H3014"/>
  <c r="H2990" s="1"/>
  <c r="G3014"/>
  <c r="G2990" s="1"/>
  <c r="M3014"/>
  <c r="M3016" s="1"/>
  <c r="M2992" s="1"/>
  <c r="K3014"/>
  <c r="K2990" s="1"/>
  <c r="I3014"/>
  <c r="I2990" s="1"/>
  <c r="M2663"/>
  <c r="M2643" s="1"/>
  <c r="M2641"/>
  <c r="K2663"/>
  <c r="K2641"/>
  <c r="I2663"/>
  <c r="I2643" s="1"/>
  <c r="I2641"/>
  <c r="N2809"/>
  <c r="L2809"/>
  <c r="J2809"/>
  <c r="G3111"/>
  <c r="G3113" s="1"/>
  <c r="G3095" s="1"/>
  <c r="G3091"/>
  <c r="N3111"/>
  <c r="N3093" s="1"/>
  <c r="L3111"/>
  <c r="L3093" s="1"/>
  <c r="J3111"/>
  <c r="J3093" s="1"/>
  <c r="H3111"/>
  <c r="H3093" s="1"/>
  <c r="G2841"/>
  <c r="G2843" s="1"/>
  <c r="G2813" s="1"/>
  <c r="G2809"/>
  <c r="M2841"/>
  <c r="M2843" s="1"/>
  <c r="M2813" s="1"/>
  <c r="M2809"/>
  <c r="K2841"/>
  <c r="K2843" s="1"/>
  <c r="K2813" s="1"/>
  <c r="K2809"/>
  <c r="N3036"/>
  <c r="M3111"/>
  <c r="M3113" s="1"/>
  <c r="M3095" s="1"/>
  <c r="M3091"/>
  <c r="K3111"/>
  <c r="K3091"/>
  <c r="I3111"/>
  <c r="I3113" s="1"/>
  <c r="I3095" s="1"/>
  <c r="I3091"/>
  <c r="N2281"/>
  <c r="N1821" s="1"/>
  <c r="F145" i="5" s="1"/>
  <c r="G145" s="1"/>
  <c r="J2281" i="1"/>
  <c r="J1821" s="1"/>
  <c r="M2318"/>
  <c r="M1822" s="1"/>
  <c r="E146" i="5" s="1"/>
  <c r="I2318" i="1"/>
  <c r="I1822" s="1"/>
  <c r="N2641"/>
  <c r="L2641"/>
  <c r="J2641"/>
  <c r="H2641"/>
  <c r="N2787"/>
  <c r="N2740" s="1"/>
  <c r="L2787"/>
  <c r="L2740" s="1"/>
  <c r="J2787"/>
  <c r="J2740" s="1"/>
  <c r="H2787"/>
  <c r="H2740" s="1"/>
  <c r="G2641"/>
  <c r="G2663"/>
  <c r="G2643" s="1"/>
  <c r="G2787"/>
  <c r="G2789" s="1"/>
  <c r="G2742" s="1"/>
  <c r="G2738"/>
  <c r="M2787"/>
  <c r="M2789" s="1"/>
  <c r="M2742" s="1"/>
  <c r="M2738"/>
  <c r="K2787"/>
  <c r="K2789" s="1"/>
  <c r="K2742" s="1"/>
  <c r="K2738"/>
  <c r="I2787"/>
  <c r="I2789" s="1"/>
  <c r="I2742" s="1"/>
  <c r="I2738"/>
  <c r="M2681"/>
  <c r="K2681"/>
  <c r="I2681"/>
  <c r="I2679" s="1"/>
  <c r="L2619"/>
  <c r="L2532" s="1"/>
  <c r="H2619"/>
  <c r="H2532" s="1"/>
  <c r="N2507"/>
  <c r="N2429" s="1"/>
  <c r="N2427"/>
  <c r="L2507"/>
  <c r="L2429" s="1"/>
  <c r="L2427"/>
  <c r="J2507"/>
  <c r="J2429" s="1"/>
  <c r="J2415" s="1"/>
  <c r="J2427"/>
  <c r="H2507"/>
  <c r="H2429" s="1"/>
  <c r="H2427"/>
  <c r="G2403"/>
  <c r="G2379" s="1"/>
  <c r="N2377"/>
  <c r="N2403"/>
  <c r="N2379" s="1"/>
  <c r="L2377"/>
  <c r="L2403"/>
  <c r="L2379" s="1"/>
  <c r="J2377"/>
  <c r="J2403"/>
  <c r="J2379" s="1"/>
  <c r="H2377"/>
  <c r="H2403"/>
  <c r="H2379" s="1"/>
  <c r="M2377"/>
  <c r="K2377"/>
  <c r="I2377"/>
  <c r="N1941"/>
  <c r="N1818" s="1"/>
  <c r="F142" i="5" s="1"/>
  <c r="J1941" i="1"/>
  <c r="J1818" s="1"/>
  <c r="G2352"/>
  <c r="G1824" s="1"/>
  <c r="N2352"/>
  <c r="N1824" s="1"/>
  <c r="F148" i="5" s="1"/>
  <c r="L2352" i="1"/>
  <c r="L1824" s="1"/>
  <c r="J2352"/>
  <c r="J1824" s="1"/>
  <c r="H2352"/>
  <c r="H1824" s="1"/>
  <c r="K1941"/>
  <c r="K1818" s="1"/>
  <c r="D142" i="5" s="1"/>
  <c r="M2352" i="1"/>
  <c r="M1824" s="1"/>
  <c r="E148" i="5" s="1"/>
  <c r="I2352" i="1"/>
  <c r="I1824" s="1"/>
  <c r="G2877"/>
  <c r="G2865" s="1"/>
  <c r="J607"/>
  <c r="J24" s="1"/>
  <c r="J805"/>
  <c r="J26" s="1"/>
  <c r="N1091"/>
  <c r="N29" s="1"/>
  <c r="F29" i="5" s="1"/>
  <c r="J1091" i="1"/>
  <c r="J29" s="1"/>
  <c r="N1271"/>
  <c r="N31" s="1"/>
  <c r="F31" i="5" s="1"/>
  <c r="J1271" i="1"/>
  <c r="J31" s="1"/>
  <c r="G1448"/>
  <c r="G33" s="1"/>
  <c r="L1448"/>
  <c r="L33" s="1"/>
  <c r="H1448"/>
  <c r="H33" s="1"/>
  <c r="L1524"/>
  <c r="L34" s="1"/>
  <c r="H1524"/>
  <c r="H34" s="1"/>
  <c r="I1610"/>
  <c r="I35" s="1"/>
  <c r="M1748"/>
  <c r="M37" s="1"/>
  <c r="E37" i="5" s="1"/>
  <c r="L506" i="1"/>
  <c r="L23" s="1"/>
  <c r="L701"/>
  <c r="L25" s="1"/>
  <c r="H701"/>
  <c r="H25" s="1"/>
  <c r="J913"/>
  <c r="J27" s="1"/>
  <c r="N1010"/>
  <c r="N28" s="1"/>
  <c r="F28" i="5" s="1"/>
  <c r="J1010" i="1"/>
  <c r="J28" s="1"/>
  <c r="I1091"/>
  <c r="I29" s="1"/>
  <c r="L1170"/>
  <c r="L30" s="1"/>
  <c r="H1170"/>
  <c r="H30" s="1"/>
  <c r="L1371"/>
  <c r="L32" s="1"/>
  <c r="H1371"/>
  <c r="H32" s="1"/>
  <c r="M1524"/>
  <c r="M34" s="1"/>
  <c r="E34" i="5" s="1"/>
  <c r="N1610" i="1"/>
  <c r="N35" s="1"/>
  <c r="F35" i="5" s="1"/>
  <c r="J1610" i="1"/>
  <c r="J35" s="1"/>
  <c r="G1701"/>
  <c r="G36" s="1"/>
  <c r="J1701"/>
  <c r="J36" s="1"/>
  <c r="M3542"/>
  <c r="M3494"/>
  <c r="M3447"/>
  <c r="K3373"/>
  <c r="K3354" s="1"/>
  <c r="K3309"/>
  <c r="K3265"/>
  <c r="K3222"/>
  <c r="K3179"/>
  <c r="K3135"/>
  <c r="I3093"/>
  <c r="K3093"/>
  <c r="M3093"/>
  <c r="G2811"/>
  <c r="G142" i="5" l="1"/>
  <c r="K1814" i="1"/>
  <c r="D138" i="5" s="1"/>
  <c r="D190"/>
  <c r="N2925" i="1"/>
  <c r="N2927" s="1"/>
  <c r="M1814"/>
  <c r="E138" i="5" s="1"/>
  <c r="E190"/>
  <c r="M14" i="1"/>
  <c r="E14" i="5" s="1"/>
  <c r="E123"/>
  <c r="N1814" i="1"/>
  <c r="F190" i="5"/>
  <c r="N14" i="1"/>
  <c r="F123" i="5"/>
  <c r="G123" s="1"/>
  <c r="H200" i="1"/>
  <c r="H19" s="1"/>
  <c r="L432"/>
  <c r="L22" s="1"/>
  <c r="H506"/>
  <c r="H23" s="1"/>
  <c r="K2685"/>
  <c r="K2679"/>
  <c r="N2371"/>
  <c r="N2419"/>
  <c r="L2419"/>
  <c r="N2521"/>
  <c r="M2635"/>
  <c r="M2647"/>
  <c r="N2732"/>
  <c r="L2732"/>
  <c r="N2803"/>
  <c r="L2803"/>
  <c r="L3030"/>
  <c r="N3085"/>
  <c r="L3085"/>
  <c r="M3127"/>
  <c r="K3127"/>
  <c r="K3139"/>
  <c r="K3159" s="1"/>
  <c r="M3171"/>
  <c r="K3171"/>
  <c r="K3183"/>
  <c r="K3202" s="1"/>
  <c r="M3214"/>
  <c r="K3214"/>
  <c r="K3226"/>
  <c r="K3245" s="1"/>
  <c r="M3257"/>
  <c r="K3257"/>
  <c r="K3269"/>
  <c r="K3289" s="1"/>
  <c r="M3301"/>
  <c r="K3301"/>
  <c r="K3313"/>
  <c r="K3332" s="1"/>
  <c r="M3344"/>
  <c r="M3356"/>
  <c r="K3344"/>
  <c r="K3356"/>
  <c r="K3375" s="1"/>
  <c r="M3387"/>
  <c r="K3387"/>
  <c r="M3439"/>
  <c r="M3451"/>
  <c r="K3439"/>
  <c r="M3486"/>
  <c r="M3498"/>
  <c r="K3486"/>
  <c r="M3534"/>
  <c r="M3546"/>
  <c r="K3534"/>
  <c r="M3582"/>
  <c r="M3684"/>
  <c r="M3696"/>
  <c r="M2857"/>
  <c r="M2867"/>
  <c r="M2371"/>
  <c r="M2384"/>
  <c r="K2371"/>
  <c r="K2384"/>
  <c r="K2407" s="1"/>
  <c r="M2521"/>
  <c r="N2982"/>
  <c r="L2982"/>
  <c r="N3582"/>
  <c r="M2679"/>
  <c r="L2371"/>
  <c r="M2419"/>
  <c r="L2521"/>
  <c r="N2635"/>
  <c r="L2635"/>
  <c r="L2679"/>
  <c r="M2732"/>
  <c r="K2732"/>
  <c r="M2803"/>
  <c r="K2803"/>
  <c r="M3030"/>
  <c r="K3030"/>
  <c r="M3085"/>
  <c r="M3097"/>
  <c r="N3127"/>
  <c r="L3127"/>
  <c r="N3171"/>
  <c r="L3171"/>
  <c r="N3214"/>
  <c r="L3214"/>
  <c r="N3257"/>
  <c r="L3257"/>
  <c r="N3301"/>
  <c r="L3301"/>
  <c r="N3344"/>
  <c r="L3344"/>
  <c r="N3387"/>
  <c r="L3387"/>
  <c r="L3439"/>
  <c r="N3486"/>
  <c r="L3486"/>
  <c r="N3534"/>
  <c r="L3534"/>
  <c r="K3582"/>
  <c r="K3684"/>
  <c r="L2857"/>
  <c r="M2982"/>
  <c r="K2982"/>
  <c r="K2994"/>
  <c r="K3018" s="1"/>
  <c r="L3582"/>
  <c r="L3684"/>
  <c r="L1941"/>
  <c r="L1818" s="1"/>
  <c r="H1941"/>
  <c r="H1818" s="1"/>
  <c r="J138"/>
  <c r="J18" s="1"/>
  <c r="H286"/>
  <c r="H20" s="1"/>
  <c r="J363"/>
  <c r="J21" s="1"/>
  <c r="H432"/>
  <c r="H22" s="1"/>
  <c r="J506"/>
  <c r="J23" s="1"/>
  <c r="N701"/>
  <c r="N25" s="1"/>
  <c r="F25" i="5" s="1"/>
  <c r="J701" i="1"/>
  <c r="J25" s="1"/>
  <c r="L805"/>
  <c r="L26" s="1"/>
  <c r="H805"/>
  <c r="H26" s="1"/>
  <c r="L913"/>
  <c r="L27" s="1"/>
  <c r="H913"/>
  <c r="H27" s="1"/>
  <c r="L1010"/>
  <c r="L28" s="1"/>
  <c r="H1010"/>
  <c r="H28" s="1"/>
  <c r="L1091"/>
  <c r="L29" s="1"/>
  <c r="H1091"/>
  <c r="H29" s="1"/>
  <c r="N1170"/>
  <c r="N30" s="1"/>
  <c r="F30" i="5" s="1"/>
  <c r="J1170" i="1"/>
  <c r="J30" s="1"/>
  <c r="L1271"/>
  <c r="L31" s="1"/>
  <c r="H1271"/>
  <c r="H31" s="1"/>
  <c r="N1371"/>
  <c r="N32" s="1"/>
  <c r="F32" i="5" s="1"/>
  <c r="J1371" i="1"/>
  <c r="J32" s="1"/>
  <c r="N1448"/>
  <c r="N33" s="1"/>
  <c r="F33" i="5" s="1"/>
  <c r="J1448" i="1"/>
  <c r="J33" s="1"/>
  <c r="N1524"/>
  <c r="N34" s="1"/>
  <c r="F34" i="5" s="1"/>
  <c r="J1524" i="1"/>
  <c r="J34" s="1"/>
  <c r="L1610"/>
  <c r="L35" s="1"/>
  <c r="H1610"/>
  <c r="H35" s="1"/>
  <c r="N1701"/>
  <c r="N36" s="1"/>
  <c r="F36" i="5" s="1"/>
  <c r="N1748" i="1"/>
  <c r="N37" s="1"/>
  <c r="F37" i="5" s="1"/>
  <c r="H2405" i="1"/>
  <c r="H2381" s="1"/>
  <c r="K2811"/>
  <c r="K2815" s="1"/>
  <c r="K2845" s="1"/>
  <c r="L3135"/>
  <c r="I3542"/>
  <c r="M3719"/>
  <c r="M3694" s="1"/>
  <c r="M3067"/>
  <c r="M3449"/>
  <c r="M12"/>
  <c r="E12" i="5" s="1"/>
  <c r="M1812" i="1"/>
  <c r="E136" i="5" s="1"/>
  <c r="K1812" i="1"/>
  <c r="D136" i="5" s="1"/>
  <c r="N913" i="1"/>
  <c r="N27" s="1"/>
  <c r="F27" i="5" s="1"/>
  <c r="N2181" i="1"/>
  <c r="N1820" s="1"/>
  <c r="F144" i="5" s="1"/>
  <c r="N805" i="1"/>
  <c r="N26" s="1"/>
  <c r="F26" i="5" s="1"/>
  <c r="I2281" i="1"/>
  <c r="I1821" s="1"/>
  <c r="G2281"/>
  <c r="G1821" s="1"/>
  <c r="M286"/>
  <c r="M20" s="1"/>
  <c r="E20" i="5" s="1"/>
  <c r="K506" i="1"/>
  <c r="K23" s="1"/>
  <c r="D23" i="5" s="1"/>
  <c r="I701" i="1"/>
  <c r="I25" s="1"/>
  <c r="K1448"/>
  <c r="K33" s="1"/>
  <c r="D33" i="5" s="1"/>
  <c r="I1524" i="1"/>
  <c r="I34" s="1"/>
  <c r="M1610"/>
  <c r="M35" s="1"/>
  <c r="E35" i="5" s="1"/>
  <c r="K1701" i="1"/>
  <c r="K36" s="1"/>
  <c r="D36" i="5" s="1"/>
  <c r="I1748" i="1"/>
  <c r="I37" s="1"/>
  <c r="K2181"/>
  <c r="K1820" s="1"/>
  <c r="D144" i="5" s="1"/>
  <c r="M2281" i="1"/>
  <c r="M1821" s="1"/>
  <c r="E145" i="5" s="1"/>
  <c r="M2740" i="1"/>
  <c r="M2744" s="1"/>
  <c r="G3093"/>
  <c r="M2811"/>
  <c r="M2815" s="1"/>
  <c r="G3568"/>
  <c r="G3544" s="1"/>
  <c r="K3542"/>
  <c r="K3546" s="1"/>
  <c r="K3570" s="1"/>
  <c r="G2925"/>
  <c r="G2927" s="1"/>
  <c r="L2925"/>
  <c r="L2927" s="1"/>
  <c r="J2925"/>
  <c r="J2927" s="1"/>
  <c r="H2925"/>
  <c r="H2927" s="1"/>
  <c r="M2925"/>
  <c r="M2927" s="1"/>
  <c r="K2925"/>
  <c r="K2927" s="1"/>
  <c r="I2925"/>
  <c r="I2927" s="1"/>
  <c r="N1796"/>
  <c r="N38" s="1"/>
  <c r="F38" i="5" s="1"/>
  <c r="L1796" i="1"/>
  <c r="L38" s="1"/>
  <c r="J1796"/>
  <c r="J38" s="1"/>
  <c r="H1796"/>
  <c r="H38" s="1"/>
  <c r="M1796"/>
  <c r="G1796"/>
  <c r="G38" s="1"/>
  <c r="K1796"/>
  <c r="K38" s="1"/>
  <c r="D38" i="5" s="1"/>
  <c r="I1796" i="1"/>
  <c r="M2665"/>
  <c r="M2645" s="1"/>
  <c r="G3036"/>
  <c r="G3069"/>
  <c r="K3036"/>
  <c r="K3069"/>
  <c r="I3036"/>
  <c r="I3069"/>
  <c r="L3067"/>
  <c r="L3036" s="1"/>
  <c r="J3067"/>
  <c r="J3036" s="1"/>
  <c r="H3067"/>
  <c r="H3036" s="1"/>
  <c r="I200"/>
  <c r="I19" s="1"/>
  <c r="I363"/>
  <c r="I21" s="1"/>
  <c r="G701"/>
  <c r="G25" s="1"/>
  <c r="G1091"/>
  <c r="G29" s="1"/>
  <c r="G1371"/>
  <c r="G32" s="1"/>
  <c r="G2069"/>
  <c r="G1819" s="1"/>
  <c r="M2069"/>
  <c r="M1819" s="1"/>
  <c r="E143" i="5" s="1"/>
  <c r="K2069" i="1"/>
  <c r="I2069"/>
  <c r="I1819" s="1"/>
  <c r="N2069"/>
  <c r="N1819" s="1"/>
  <c r="F143" i="5" s="1"/>
  <c r="L2069" i="1"/>
  <c r="L1819" s="1"/>
  <c r="J2069"/>
  <c r="H2069"/>
  <c r="H1819" s="1"/>
  <c r="G2405"/>
  <c r="G2381" s="1"/>
  <c r="L2621"/>
  <c r="L2534" s="1"/>
  <c r="G3157"/>
  <c r="G3137" s="1"/>
  <c r="G3179"/>
  <c r="G3243"/>
  <c r="G3224" s="1"/>
  <c r="G3265"/>
  <c r="G3330"/>
  <c r="G3311" s="1"/>
  <c r="G3352"/>
  <c r="I3447"/>
  <c r="I3494"/>
  <c r="I2877"/>
  <c r="I2865" s="1"/>
  <c r="G2334"/>
  <c r="M2334"/>
  <c r="M1823" s="1"/>
  <c r="E147" i="5" s="1"/>
  <c r="K2334" i="1"/>
  <c r="K1823" s="1"/>
  <c r="D147" i="5" s="1"/>
  <c r="I2334" i="1"/>
  <c r="N2334"/>
  <c r="N1823" s="1"/>
  <c r="F147" i="5" s="1"/>
  <c r="G147" s="1"/>
  <c r="L2334" i="1"/>
  <c r="L1823" s="1"/>
  <c r="J2334"/>
  <c r="J1823" s="1"/>
  <c r="H2334"/>
  <c r="H1823" s="1"/>
  <c r="J1819"/>
  <c r="K138"/>
  <c r="K18" s="1"/>
  <c r="D18" i="5" s="1"/>
  <c r="G913" i="1"/>
  <c r="G27" s="1"/>
  <c r="I913"/>
  <c r="I27" s="1"/>
  <c r="G1271"/>
  <c r="G31" s="1"/>
  <c r="K1271"/>
  <c r="K31" s="1"/>
  <c r="D31" i="5" s="1"/>
  <c r="G31" s="1"/>
  <c r="L2405" i="1"/>
  <c r="L2381" s="1"/>
  <c r="G2665"/>
  <c r="G2645" s="1"/>
  <c r="L3113"/>
  <c r="L3095" s="1"/>
  <c r="M3135"/>
  <c r="M3139" s="1"/>
  <c r="I3135"/>
  <c r="M3179"/>
  <c r="M3183" s="1"/>
  <c r="I3179"/>
  <c r="M3222"/>
  <c r="M3226" s="1"/>
  <c r="I3222"/>
  <c r="M3265"/>
  <c r="M3269" s="1"/>
  <c r="I3265"/>
  <c r="M3309"/>
  <c r="M3313" s="1"/>
  <c r="I3309"/>
  <c r="M3373"/>
  <c r="M3354" s="1"/>
  <c r="I3373"/>
  <c r="I3354" s="1"/>
  <c r="G3447"/>
  <c r="K3447"/>
  <c r="K3451" s="1"/>
  <c r="K3474" s="1"/>
  <c r="G3520"/>
  <c r="G3496" s="1"/>
  <c r="K3494"/>
  <c r="K3498" s="1"/>
  <c r="K3522" s="1"/>
  <c r="J3568"/>
  <c r="J3544" s="1"/>
  <c r="L3692"/>
  <c r="L1701"/>
  <c r="L36" s="1"/>
  <c r="H1701"/>
  <c r="H36" s="1"/>
  <c r="J1748"/>
  <c r="J37" s="1"/>
  <c r="G1941"/>
  <c r="G1818" s="1"/>
  <c r="M1941"/>
  <c r="M1818" s="1"/>
  <c r="E142" i="5" s="1"/>
  <c r="I1941" i="1"/>
  <c r="I1818" s="1"/>
  <c r="K1819"/>
  <c r="D143" i="5" s="1"/>
  <c r="G2181" i="1"/>
  <c r="G1820" s="1"/>
  <c r="M2181"/>
  <c r="M1820" s="1"/>
  <c r="E144" i="5" s="1"/>
  <c r="I2181" i="1"/>
  <c r="I1820" s="1"/>
  <c r="L2281"/>
  <c r="L1821" s="1"/>
  <c r="H2281"/>
  <c r="H1821" s="1"/>
  <c r="G2318"/>
  <c r="G1822" s="1"/>
  <c r="K2318"/>
  <c r="K1822" s="1"/>
  <c r="D146" i="5" s="1"/>
  <c r="G146" s="1"/>
  <c r="G1823" i="1"/>
  <c r="I1823"/>
  <c r="K2352"/>
  <c r="K1824" s="1"/>
  <c r="D148" i="5" s="1"/>
  <c r="H2789" i="1"/>
  <c r="H2742" s="1"/>
  <c r="H3113"/>
  <c r="H3095" s="1"/>
  <c r="N3421"/>
  <c r="N3393" s="1"/>
  <c r="J3421"/>
  <c r="J3423" s="1"/>
  <c r="N3568"/>
  <c r="N3544" s="1"/>
  <c r="G138"/>
  <c r="G18" s="1"/>
  <c r="M200"/>
  <c r="M19" s="1"/>
  <c r="E19" i="5" s="1"/>
  <c r="I286" i="1"/>
  <c r="I20" s="1"/>
  <c r="K432"/>
  <c r="K22" s="1"/>
  <c r="D22" i="5" s="1"/>
  <c r="G506" i="1"/>
  <c r="G23" s="1"/>
  <c r="G607"/>
  <c r="G24" s="1"/>
  <c r="K607"/>
  <c r="K24" s="1"/>
  <c r="D24" i="5" s="1"/>
  <c r="M701" i="1"/>
  <c r="M25" s="1"/>
  <c r="E25" i="5" s="1"/>
  <c r="K805" i="1"/>
  <c r="K26" s="1"/>
  <c r="D26" i="5" s="1"/>
  <c r="M913" i="1"/>
  <c r="M27" s="1"/>
  <c r="E27" i="5" s="1"/>
  <c r="K1010" i="1"/>
  <c r="K28" s="1"/>
  <c r="D28" i="5" s="1"/>
  <c r="G28" s="1"/>
  <c r="M1091" i="1"/>
  <c r="M29" s="1"/>
  <c r="E29" i="5" s="1"/>
  <c r="K1170" i="1"/>
  <c r="K30" s="1"/>
  <c r="D30" i="5" s="1"/>
  <c r="M1271" i="1"/>
  <c r="M31" s="1"/>
  <c r="E31" i="5" s="1"/>
  <c r="I1271" i="1"/>
  <c r="I31" s="1"/>
  <c r="K1371"/>
  <c r="K32" s="1"/>
  <c r="D32" i="5" s="1"/>
  <c r="M1448" i="1"/>
  <c r="M33" s="1"/>
  <c r="E33" i="5" s="1"/>
  <c r="I1448" i="1"/>
  <c r="I33" s="1"/>
  <c r="G1524"/>
  <c r="G34" s="1"/>
  <c r="K1524"/>
  <c r="K34" s="1"/>
  <c r="D34" i="5" s="1"/>
  <c r="G1610" i="1"/>
  <c r="G35" s="1"/>
  <c r="K1610"/>
  <c r="K35" s="1"/>
  <c r="D35" i="5" s="1"/>
  <c r="G35" s="1"/>
  <c r="M1701" i="1"/>
  <c r="M36" s="1"/>
  <c r="E36" i="5" s="1"/>
  <c r="M3621" i="1"/>
  <c r="M3590" s="1"/>
  <c r="I3621"/>
  <c r="I3623" s="1"/>
  <c r="I3670"/>
  <c r="I3647" s="1"/>
  <c r="M38"/>
  <c r="E38" i="5" s="1"/>
  <c r="I38" i="1"/>
  <c r="G1748"/>
  <c r="G37" s="1"/>
  <c r="K1748"/>
  <c r="K37" s="1"/>
  <c r="D37" i="5" s="1"/>
  <c r="I1701" i="1"/>
  <c r="I36" s="1"/>
  <c r="L2716"/>
  <c r="L2685"/>
  <c r="H2716"/>
  <c r="H2685"/>
  <c r="N2843"/>
  <c r="N2813" s="1"/>
  <c r="N2811"/>
  <c r="L2843"/>
  <c r="L2813" s="1"/>
  <c r="L2811"/>
  <c r="J2843"/>
  <c r="J2813" s="1"/>
  <c r="J2811"/>
  <c r="N3071"/>
  <c r="N3040" s="1"/>
  <c r="N3038"/>
  <c r="N3200"/>
  <c r="N3181" s="1"/>
  <c r="N3179"/>
  <c r="L3200"/>
  <c r="L3181" s="1"/>
  <c r="L3179"/>
  <c r="J3200"/>
  <c r="J3181" s="1"/>
  <c r="J3179"/>
  <c r="H3200"/>
  <c r="H3181" s="1"/>
  <c r="H3179"/>
  <c r="N3243"/>
  <c r="N3224" s="1"/>
  <c r="N3222"/>
  <c r="L3243"/>
  <c r="L3224" s="1"/>
  <c r="L3222"/>
  <c r="J3243"/>
  <c r="J3224" s="1"/>
  <c r="J3222"/>
  <c r="H3243"/>
  <c r="H3224" s="1"/>
  <c r="H3222"/>
  <c r="N3287"/>
  <c r="N3267" s="1"/>
  <c r="N3265"/>
  <c r="L3287"/>
  <c r="L3267" s="1"/>
  <c r="L3265"/>
  <c r="J3287"/>
  <c r="J3267" s="1"/>
  <c r="J3265"/>
  <c r="H3287"/>
  <c r="H3267" s="1"/>
  <c r="H3265"/>
  <c r="N3330"/>
  <c r="N3311" s="1"/>
  <c r="N3309"/>
  <c r="L3330"/>
  <c r="L3311" s="1"/>
  <c r="L3309"/>
  <c r="J3330"/>
  <c r="J3311" s="1"/>
  <c r="J3309"/>
  <c r="H3330"/>
  <c r="H3311" s="1"/>
  <c r="H3309"/>
  <c r="N3373"/>
  <c r="N3354" s="1"/>
  <c r="N3352"/>
  <c r="L3373"/>
  <c r="L3354" s="1"/>
  <c r="L3352"/>
  <c r="J3373"/>
  <c r="J3354" s="1"/>
  <c r="J3352"/>
  <c r="H3373"/>
  <c r="H3354" s="1"/>
  <c r="H3352"/>
  <c r="J3393"/>
  <c r="N3472"/>
  <c r="N3449" s="1"/>
  <c r="N3447"/>
  <c r="L3472"/>
  <c r="L3449" s="1"/>
  <c r="L3447"/>
  <c r="J3472"/>
  <c r="J3449" s="1"/>
  <c r="J3447"/>
  <c r="H3472"/>
  <c r="H3449" s="1"/>
  <c r="H3447"/>
  <c r="N3520"/>
  <c r="N3496" s="1"/>
  <c r="N3494"/>
  <c r="L3520"/>
  <c r="L3496" s="1"/>
  <c r="L3494"/>
  <c r="J3520"/>
  <c r="J3496" s="1"/>
  <c r="J3494"/>
  <c r="H3520"/>
  <c r="H3496" s="1"/>
  <c r="H3494"/>
  <c r="N3643"/>
  <c r="N3668"/>
  <c r="N3645" s="1"/>
  <c r="L3645"/>
  <c r="J3670"/>
  <c r="J3647" s="1"/>
  <c r="J3645"/>
  <c r="H3670"/>
  <c r="H3647" s="1"/>
  <c r="H3645"/>
  <c r="G3670"/>
  <c r="G3647" s="1"/>
  <c r="G3645"/>
  <c r="N2405"/>
  <c r="N2381" s="1"/>
  <c r="J2405"/>
  <c r="J2381" s="1"/>
  <c r="K2405"/>
  <c r="K2381" s="1"/>
  <c r="H2621"/>
  <c r="H2534" s="1"/>
  <c r="I2740"/>
  <c r="H3135"/>
  <c r="J3592"/>
  <c r="H3692"/>
  <c r="I3692"/>
  <c r="N2685"/>
  <c r="J2619"/>
  <c r="J2621" s="1"/>
  <c r="J2534" s="1"/>
  <c r="N2619"/>
  <c r="J3014"/>
  <c r="J2990" s="1"/>
  <c r="N3014"/>
  <c r="N2990" s="1"/>
  <c r="L3621"/>
  <c r="L3590" s="1"/>
  <c r="H2665"/>
  <c r="H2645" s="1"/>
  <c r="M432"/>
  <c r="M22" s="1"/>
  <c r="E22" i="5" s="1"/>
  <c r="I432" i="1"/>
  <c r="I22" s="1"/>
  <c r="I506"/>
  <c r="I23" s="1"/>
  <c r="M607"/>
  <c r="M24" s="1"/>
  <c r="E24" i="5" s="1"/>
  <c r="I607" i="1"/>
  <c r="I24" s="1"/>
  <c r="K701"/>
  <c r="K25" s="1"/>
  <c r="D25" i="5" s="1"/>
  <c r="G805" i="1"/>
  <c r="G26" s="1"/>
  <c r="M805"/>
  <c r="M26" s="1"/>
  <c r="E26" i="5" s="1"/>
  <c r="I805" i="1"/>
  <c r="I26" s="1"/>
  <c r="K913"/>
  <c r="K27" s="1"/>
  <c r="D27" i="5" s="1"/>
  <c r="G1010" i="1"/>
  <c r="G28" s="1"/>
  <c r="M1010"/>
  <c r="M28" s="1"/>
  <c r="E28" i="5" s="1"/>
  <c r="I1010" i="1"/>
  <c r="I28" s="1"/>
  <c r="K1091"/>
  <c r="K29" s="1"/>
  <c r="D29" i="5" s="1"/>
  <c r="G29" s="1"/>
  <c r="G1170" i="1"/>
  <c r="G30" s="1"/>
  <c r="M1170"/>
  <c r="M30" s="1"/>
  <c r="E30" i="5" s="1"/>
  <c r="I1170" i="1"/>
  <c r="I30" s="1"/>
  <c r="M1371"/>
  <c r="M32" s="1"/>
  <c r="E32" i="5" s="1"/>
  <c r="I1371" i="1"/>
  <c r="I32" s="1"/>
  <c r="N138"/>
  <c r="N18" s="1"/>
  <c r="F18" i="5" s="1"/>
  <c r="L200" i="1"/>
  <c r="L19" s="1"/>
  <c r="L286"/>
  <c r="L20" s="1"/>
  <c r="L363"/>
  <c r="L21" s="1"/>
  <c r="H363"/>
  <c r="H21" s="1"/>
  <c r="M2405"/>
  <c r="M2381" s="1"/>
  <c r="I2405"/>
  <c r="I2381" s="1"/>
  <c r="J2532"/>
  <c r="G2740"/>
  <c r="K2740"/>
  <c r="K2744" s="1"/>
  <c r="K2791" s="1"/>
  <c r="N3113"/>
  <c r="N3095" s="1"/>
  <c r="J3113"/>
  <c r="J3095" s="1"/>
  <c r="N3135"/>
  <c r="J3135"/>
  <c r="L3568"/>
  <c r="L3544" s="1"/>
  <c r="H3568"/>
  <c r="H3544" s="1"/>
  <c r="N3692"/>
  <c r="J3692"/>
  <c r="G3692"/>
  <c r="K3692"/>
  <c r="K3696" s="1"/>
  <c r="K3721" s="1"/>
  <c r="G432"/>
  <c r="G22" s="1"/>
  <c r="K2643"/>
  <c r="M138"/>
  <c r="M18" s="1"/>
  <c r="E18" i="5" s="1"/>
  <c r="I138" i="1"/>
  <c r="I18" s="1"/>
  <c r="G200"/>
  <c r="G19" s="1"/>
  <c r="K200"/>
  <c r="K19" s="1"/>
  <c r="D19" i="5" s="1"/>
  <c r="G286" i="1"/>
  <c r="G20" s="1"/>
  <c r="K286"/>
  <c r="K20" s="1"/>
  <c r="D20" i="5" s="1"/>
  <c r="G363" i="1"/>
  <c r="G21" s="1"/>
  <c r="J432"/>
  <c r="J22" s="1"/>
  <c r="K3016"/>
  <c r="K2992" s="1"/>
  <c r="M2685"/>
  <c r="I2665"/>
  <c r="I2645" s="1"/>
  <c r="M3393"/>
  <c r="L138"/>
  <c r="L18" s="1"/>
  <c r="H138"/>
  <c r="H18" s="1"/>
  <c r="N200"/>
  <c r="N19" s="1"/>
  <c r="F19" i="5" s="1"/>
  <c r="G19" s="1"/>
  <c r="J200" i="1"/>
  <c r="J19" s="1"/>
  <c r="N286"/>
  <c r="N20" s="1"/>
  <c r="F20" i="5" s="1"/>
  <c r="G20" s="1"/>
  <c r="J286" i="1"/>
  <c r="J1798" s="1"/>
  <c r="J40" s="1"/>
  <c r="I2355"/>
  <c r="I2357" s="1"/>
  <c r="I1828" s="1"/>
  <c r="H3016"/>
  <c r="H2992" s="1"/>
  <c r="K363"/>
  <c r="K21" s="1"/>
  <c r="D21" i="5" s="1"/>
  <c r="G21" s="1"/>
  <c r="M363" i="1"/>
  <c r="M21" s="1"/>
  <c r="E21" i="5" s="1"/>
  <c r="H607" i="1"/>
  <c r="H24" s="1"/>
  <c r="N607"/>
  <c r="N24" s="1"/>
  <c r="F24" i="5" s="1"/>
  <c r="L607" i="1"/>
  <c r="L24" s="1"/>
  <c r="J2318"/>
  <c r="J1822" s="1"/>
  <c r="J20"/>
  <c r="I2505"/>
  <c r="I2425"/>
  <c r="N2355"/>
  <c r="N1826" s="1"/>
  <c r="F150" i="5" s="1"/>
  <c r="K2355" i="1"/>
  <c r="G3395"/>
  <c r="K3393"/>
  <c r="G3393"/>
  <c r="J2685"/>
  <c r="I2685"/>
  <c r="I1798"/>
  <c r="I40" s="1"/>
  <c r="L3016"/>
  <c r="L2992" s="1"/>
  <c r="N432"/>
  <c r="N22" s="1"/>
  <c r="F22" i="5" s="1"/>
  <c r="G22" s="1"/>
  <c r="M2877" i="1"/>
  <c r="M2865" s="1"/>
  <c r="H2877"/>
  <c r="H2865" s="1"/>
  <c r="L2789"/>
  <c r="L2742" s="1"/>
  <c r="I3016"/>
  <c r="I2992" s="1"/>
  <c r="K3590"/>
  <c r="H3423"/>
  <c r="G3590"/>
  <c r="L2318"/>
  <c r="L2355" s="1"/>
  <c r="H2318"/>
  <c r="H1822" s="1"/>
  <c r="M2505"/>
  <c r="M2425"/>
  <c r="L1822"/>
  <c r="N3016"/>
  <c r="N2992" s="1"/>
  <c r="L2877"/>
  <c r="L2865" s="1"/>
  <c r="J2877"/>
  <c r="J2865" s="1"/>
  <c r="I2529"/>
  <c r="I2619"/>
  <c r="H3623"/>
  <c r="G2685"/>
  <c r="G2716"/>
  <c r="N2789"/>
  <c r="N2742" s="1"/>
  <c r="N2665"/>
  <c r="N2645" s="1"/>
  <c r="I3423"/>
  <c r="N3423"/>
  <c r="I3590"/>
  <c r="M3623"/>
  <c r="L3623"/>
  <c r="J2718"/>
  <c r="J2689" s="1"/>
  <c r="J2687"/>
  <c r="N2718"/>
  <c r="N2689" s="1"/>
  <c r="N2687"/>
  <c r="M2529"/>
  <c r="M2619"/>
  <c r="H2809"/>
  <c r="H2841"/>
  <c r="L2897"/>
  <c r="J2897"/>
  <c r="H2897"/>
  <c r="I3625"/>
  <c r="I3594" s="1"/>
  <c r="I3592"/>
  <c r="H2718"/>
  <c r="H2689" s="1"/>
  <c r="H2687"/>
  <c r="L2718"/>
  <c r="L2689" s="1"/>
  <c r="L2687"/>
  <c r="I2841"/>
  <c r="I2809"/>
  <c r="G2897"/>
  <c r="K2897"/>
  <c r="I2897"/>
  <c r="N2877"/>
  <c r="N2865" s="1"/>
  <c r="L2665"/>
  <c r="L2645" s="1"/>
  <c r="L3393"/>
  <c r="N3623"/>
  <c r="K3395"/>
  <c r="K3399" s="1"/>
  <c r="K3427" s="1"/>
  <c r="K3425"/>
  <c r="K3397" s="1"/>
  <c r="K2687"/>
  <c r="K2691" s="1"/>
  <c r="K2720" s="1"/>
  <c r="K2718"/>
  <c r="K2689" s="1"/>
  <c r="K2505"/>
  <c r="K2425"/>
  <c r="K2530"/>
  <c r="K2619"/>
  <c r="K3625"/>
  <c r="K3594" s="1"/>
  <c r="K3592"/>
  <c r="K3596" s="1"/>
  <c r="K3627" s="1"/>
  <c r="G3592"/>
  <c r="G3625"/>
  <c r="G3594" s="1"/>
  <c r="G2505"/>
  <c r="G2425"/>
  <c r="G2530"/>
  <c r="G2619"/>
  <c r="J2789"/>
  <c r="J2742" s="1"/>
  <c r="J2665"/>
  <c r="J2645" s="1"/>
  <c r="M2990"/>
  <c r="M2994" s="1"/>
  <c r="G3016"/>
  <c r="G2992" s="1"/>
  <c r="J3590"/>
  <c r="M506"/>
  <c r="N506"/>
  <c r="L3425"/>
  <c r="L3397" s="1"/>
  <c r="L3395"/>
  <c r="I2687"/>
  <c r="I2718"/>
  <c r="I2689" s="1"/>
  <c r="M3425"/>
  <c r="M3397" s="1"/>
  <c r="M3395"/>
  <c r="M3399" s="1"/>
  <c r="M2687"/>
  <c r="M2691" s="1"/>
  <c r="M2718"/>
  <c r="M2689" s="1"/>
  <c r="H1798"/>
  <c r="G1798"/>
  <c r="G24" i="5" l="1"/>
  <c r="G190"/>
  <c r="G38"/>
  <c r="G26"/>
  <c r="G27"/>
  <c r="G37"/>
  <c r="G143"/>
  <c r="G144"/>
  <c r="G36"/>
  <c r="G34"/>
  <c r="G33"/>
  <c r="G32"/>
  <c r="G30"/>
  <c r="G25"/>
  <c r="M2897" i="1"/>
  <c r="N2897"/>
  <c r="N1812"/>
  <c r="F136" i="5" s="1"/>
  <c r="G136" s="1"/>
  <c r="F138"/>
  <c r="G138" s="1"/>
  <c r="N12" i="1"/>
  <c r="F12" i="5" s="1"/>
  <c r="F14"/>
  <c r="M2355" i="1"/>
  <c r="M1826" s="1"/>
  <c r="M2845"/>
  <c r="N2799"/>
  <c r="M3115"/>
  <c r="N3081"/>
  <c r="N3097" s="1"/>
  <c r="N3115" s="1"/>
  <c r="M3522"/>
  <c r="N3482"/>
  <c r="N3498" s="1"/>
  <c r="N3522" s="1"/>
  <c r="M2667"/>
  <c r="N2631"/>
  <c r="N2647" s="1"/>
  <c r="N2667" s="1"/>
  <c r="M3427"/>
  <c r="N3383"/>
  <c r="M2720"/>
  <c r="N2675"/>
  <c r="N2691" s="1"/>
  <c r="N2720" s="1"/>
  <c r="M3332"/>
  <c r="N3297"/>
  <c r="N3313" s="1"/>
  <c r="N3332" s="1"/>
  <c r="N3253"/>
  <c r="M3289"/>
  <c r="M3245"/>
  <c r="N3210"/>
  <c r="N3226" s="1"/>
  <c r="N3245" s="1"/>
  <c r="M3721"/>
  <c r="N3680"/>
  <c r="N3696" s="1"/>
  <c r="N3721" s="1"/>
  <c r="M3570"/>
  <c r="N3530"/>
  <c r="N3546" s="1"/>
  <c r="N3570" s="1"/>
  <c r="N3269"/>
  <c r="N3289" s="1"/>
  <c r="N2815"/>
  <c r="N2845" s="1"/>
  <c r="M3474"/>
  <c r="N3435"/>
  <c r="N3451" s="1"/>
  <c r="N3474" s="1"/>
  <c r="M3375"/>
  <c r="N3340"/>
  <c r="N3356" s="1"/>
  <c r="N3375" s="1"/>
  <c r="M3202"/>
  <c r="N3167"/>
  <c r="N3183" s="1"/>
  <c r="N3202" s="1"/>
  <c r="M3159"/>
  <c r="N3123"/>
  <c r="N3139" s="1"/>
  <c r="N3159" s="1"/>
  <c r="M3018"/>
  <c r="N2978"/>
  <c r="N2994" s="1"/>
  <c r="N3018" s="1"/>
  <c r="M2879"/>
  <c r="N2853"/>
  <c r="M2791"/>
  <c r="N2728"/>
  <c r="N2744" s="1"/>
  <c r="N2791" s="1"/>
  <c r="M2407"/>
  <c r="N2367"/>
  <c r="N2384" s="1"/>
  <c r="N2407" s="1"/>
  <c r="J3425"/>
  <c r="J3397" s="1"/>
  <c r="J3395"/>
  <c r="K1798"/>
  <c r="L1798"/>
  <c r="J3016"/>
  <c r="M3036"/>
  <c r="M3069"/>
  <c r="N2357"/>
  <c r="N1828" s="1"/>
  <c r="F152" i="5" s="1"/>
  <c r="H3069" i="1"/>
  <c r="L3069"/>
  <c r="I3038"/>
  <c r="I3071"/>
  <c r="I3040" s="1"/>
  <c r="K3038"/>
  <c r="K3042" s="1"/>
  <c r="K3071"/>
  <c r="K3040" s="1"/>
  <c r="G3071"/>
  <c r="G3040" s="1"/>
  <c r="G3038"/>
  <c r="J3069"/>
  <c r="M2357"/>
  <c r="M1828" s="1"/>
  <c r="E152" i="5" s="1"/>
  <c r="I1826" i="1"/>
  <c r="G2355"/>
  <c r="J2355"/>
  <c r="N2621"/>
  <c r="N2534" s="1"/>
  <c r="N2532"/>
  <c r="K1826"/>
  <c r="K2357"/>
  <c r="K1828" s="1"/>
  <c r="D152" i="5" s="1"/>
  <c r="I2427" i="1"/>
  <c r="I2507"/>
  <c r="I2429" s="1"/>
  <c r="H2355"/>
  <c r="H1826" s="1"/>
  <c r="H3425"/>
  <c r="H3397" s="1"/>
  <c r="H3395"/>
  <c r="M2507"/>
  <c r="M2429" s="1"/>
  <c r="M2427"/>
  <c r="M2431" s="1"/>
  <c r="L1826"/>
  <c r="L2357"/>
  <c r="L1828" s="1"/>
  <c r="H3592"/>
  <c r="H3625"/>
  <c r="H3594" s="1"/>
  <c r="I2532"/>
  <c r="I2621"/>
  <c r="I2534" s="1"/>
  <c r="L3592"/>
  <c r="L3625"/>
  <c r="L3594" s="1"/>
  <c r="I3395"/>
  <c r="I3425"/>
  <c r="I3397" s="1"/>
  <c r="M3625"/>
  <c r="M3594" s="1"/>
  <c r="M3592"/>
  <c r="M3596" s="1"/>
  <c r="N3395"/>
  <c r="N3399" s="1"/>
  <c r="N3427" s="1"/>
  <c r="N3425"/>
  <c r="N3397" s="1"/>
  <c r="G2687"/>
  <c r="G2718"/>
  <c r="G2689" s="1"/>
  <c r="I2899"/>
  <c r="I2929"/>
  <c r="I2901" s="1"/>
  <c r="K2899"/>
  <c r="M2899"/>
  <c r="G2899"/>
  <c r="G2929"/>
  <c r="G2901" s="1"/>
  <c r="I2811"/>
  <c r="I2843"/>
  <c r="I2813" s="1"/>
  <c r="N3625"/>
  <c r="N3594" s="1"/>
  <c r="N3592"/>
  <c r="H2929"/>
  <c r="H2901" s="1"/>
  <c r="H2899"/>
  <c r="J2929"/>
  <c r="J2899"/>
  <c r="L2899"/>
  <c r="N2899"/>
  <c r="H2843"/>
  <c r="H2813" s="1"/>
  <c r="H2811"/>
  <c r="M2621"/>
  <c r="M2534" s="1"/>
  <c r="M2532"/>
  <c r="M2536" s="1"/>
  <c r="N23"/>
  <c r="F23" i="5" s="1"/>
  <c r="G23" s="1"/>
  <c r="N1798" i="1"/>
  <c r="G2507"/>
  <c r="G2429" s="1"/>
  <c r="G2427"/>
  <c r="K2427"/>
  <c r="M23"/>
  <c r="E23" i="5" s="1"/>
  <c r="M1798" i="1"/>
  <c r="G2532"/>
  <c r="G2621"/>
  <c r="G2534" s="1"/>
  <c r="K2532"/>
  <c r="G40"/>
  <c r="H40"/>
  <c r="K40"/>
  <c r="D40" i="5" s="1"/>
  <c r="L40" i="1"/>
  <c r="J2901" l="1"/>
  <c r="J2931"/>
  <c r="K3073"/>
  <c r="J2992"/>
  <c r="J2978"/>
  <c r="J2994" s="1"/>
  <c r="J3018" s="1"/>
  <c r="K1830"/>
  <c r="D154" i="5" s="1"/>
  <c r="D150"/>
  <c r="G150" s="1"/>
  <c r="M1830" i="1"/>
  <c r="E154" i="5" s="1"/>
  <c r="E150"/>
  <c r="K2359" i="1"/>
  <c r="M2623"/>
  <c r="N2517"/>
  <c r="N2536" s="1"/>
  <c r="N2623" s="1"/>
  <c r="M3627"/>
  <c r="N3578"/>
  <c r="N3596" s="1"/>
  <c r="N3627" s="1"/>
  <c r="M2509"/>
  <c r="N2415"/>
  <c r="N2431" s="1"/>
  <c r="N2509" s="1"/>
  <c r="M3038"/>
  <c r="M3042" s="1"/>
  <c r="M3071"/>
  <c r="M3040" s="1"/>
  <c r="J3071"/>
  <c r="J3040" s="1"/>
  <c r="J3026" s="1"/>
  <c r="J3038"/>
  <c r="H3071"/>
  <c r="H3040" s="1"/>
  <c r="H3038"/>
  <c r="L3071"/>
  <c r="L3040" s="1"/>
  <c r="L3038"/>
  <c r="G1826"/>
  <c r="G2357"/>
  <c r="G1828" s="1"/>
  <c r="J1826"/>
  <c r="J2357"/>
  <c r="J1828" s="1"/>
  <c r="J1830" s="1"/>
  <c r="H2357"/>
  <c r="H1828" s="1"/>
  <c r="M40"/>
  <c r="M1800"/>
  <c r="M42" s="1"/>
  <c r="E42" i="5" s="1"/>
  <c r="N40" i="1"/>
  <c r="F40" i="5" s="1"/>
  <c r="G40" s="1"/>
  <c r="N1800" i="1"/>
  <c r="N42" s="1"/>
  <c r="F42" i="5" s="1"/>
  <c r="M2359" i="1" l="1"/>
  <c r="N1808"/>
  <c r="N1830" s="1"/>
  <c r="F154" i="5" s="1"/>
  <c r="E40"/>
  <c r="M3073" i="1"/>
  <c r="N3026"/>
  <c r="N3042" s="1"/>
  <c r="N3073" s="1"/>
  <c r="G1800"/>
  <c r="G42" s="1"/>
  <c r="G14"/>
  <c r="G12" s="1"/>
  <c r="L14"/>
  <c r="L12" s="1"/>
  <c r="K1800"/>
  <c r="K42" s="1"/>
  <c r="D42" i="5" s="1"/>
  <c r="J1800" i="1"/>
  <c r="J42" s="1"/>
  <c r="J44" s="1"/>
  <c r="K8" s="1"/>
  <c r="M8" s="1"/>
  <c r="E8" i="5" s="1"/>
  <c r="K14" i="1"/>
  <c r="I1800"/>
  <c r="I42" s="1"/>
  <c r="H14"/>
  <c r="H12" s="1"/>
  <c r="L1800"/>
  <c r="L42" s="1"/>
  <c r="J14"/>
  <c r="J12" s="1"/>
  <c r="H1800"/>
  <c r="H42" s="1"/>
  <c r="I14"/>
  <c r="I12" s="1"/>
  <c r="M44" l="1"/>
  <c r="E44" i="5" s="1"/>
  <c r="K44" i="1"/>
  <c r="D44" i="5" s="1"/>
  <c r="D14"/>
  <c r="G14" s="1"/>
  <c r="F132"/>
  <c r="N2359" i="1"/>
  <c r="M1802"/>
  <c r="K12"/>
  <c r="D12" i="5" s="1"/>
  <c r="G12" s="1"/>
  <c r="K1802" i="1"/>
  <c r="K2507"/>
  <c r="K2429" s="1"/>
  <c r="N8" l="1"/>
  <c r="F8" i="5" s="1"/>
  <c r="N44" i="1"/>
  <c r="F44" i="5" s="1"/>
  <c r="K2421" i="1"/>
  <c r="K2523"/>
  <c r="K2621"/>
  <c r="K2534" s="1"/>
  <c r="K2665"/>
  <c r="K2645" s="1"/>
  <c r="K2637"/>
  <c r="K2647" s="1"/>
  <c r="K2667" s="1"/>
  <c r="N1802" l="1"/>
  <c r="K2419"/>
  <c r="K2431"/>
  <c r="K2509" s="1"/>
  <c r="K2521"/>
  <c r="K2536"/>
  <c r="K2623" s="1"/>
  <c r="K2635"/>
  <c r="K2859"/>
  <c r="K2857" s="1"/>
  <c r="K2877"/>
  <c r="K2865" s="1"/>
  <c r="M2929"/>
  <c r="M2901" s="1"/>
  <c r="L2929"/>
  <c r="L2901" s="1"/>
  <c r="K2929"/>
  <c r="K2901" s="1"/>
  <c r="N2929"/>
  <c r="N2901" s="1"/>
  <c r="L2893"/>
  <c r="L2891" s="1"/>
  <c r="N2893"/>
  <c r="M2893"/>
  <c r="M2903" s="1"/>
  <c r="K2893"/>
  <c r="K3113"/>
  <c r="K3095" s="1"/>
  <c r="K3087"/>
  <c r="K3085" s="1"/>
  <c r="K2867" l="1"/>
  <c r="K2879" s="1"/>
  <c r="M2931"/>
  <c r="N2887"/>
  <c r="N2891"/>
  <c r="N2903"/>
  <c r="N2931" s="1"/>
  <c r="M2891"/>
  <c r="N2867" s="1"/>
  <c r="N2879" s="1"/>
  <c r="K2891"/>
  <c r="K2903"/>
  <c r="K2931" s="1"/>
  <c r="K3097"/>
  <c r="K3115" s="1"/>
  <c r="M3670"/>
  <c r="M3647" s="1"/>
  <c r="L3670"/>
  <c r="L3647" s="1"/>
  <c r="K3670"/>
  <c r="K3647" s="1"/>
  <c r="M3639"/>
  <c r="M3649" s="1"/>
  <c r="M3637"/>
  <c r="N3670"/>
  <c r="N3647" s="1"/>
  <c r="K3639"/>
  <c r="K3649" s="1"/>
  <c r="K3672" s="1"/>
  <c r="L3639"/>
  <c r="N3639"/>
  <c r="N3637" s="1"/>
  <c r="M3672" l="1"/>
  <c r="N3633"/>
  <c r="N3649" s="1"/>
  <c r="N3672" s="1"/>
  <c r="L3637"/>
  <c r="K3637"/>
</calcChain>
</file>

<file path=xl/sharedStrings.xml><?xml version="1.0" encoding="utf-8"?>
<sst xmlns="http://schemas.openxmlformats.org/spreadsheetml/2006/main" count="11482" uniqueCount="3104">
  <si>
    <t>110-BUSINESS DEVELOPMENT</t>
  </si>
  <si>
    <t>111-LEGISLATIVE</t>
  </si>
  <si>
    <t>112-CITY MANAGER</t>
  </si>
  <si>
    <t>113-CITY SECRETARY</t>
  </si>
  <si>
    <t>114-LEGAL</t>
  </si>
  <si>
    <t>116-HEALTH</t>
  </si>
  <si>
    <t>118-STREETS</t>
  </si>
  <si>
    <t>119-GARAGE</t>
  </si>
  <si>
    <t>120-POLICE DEPARTMENT</t>
  </si>
  <si>
    <t>121-FIRE DEPARTMENT</t>
  </si>
  <si>
    <t>122-CEMETERY DEPARTMENT</t>
  </si>
  <si>
    <t>123-COURT</t>
  </si>
  <si>
    <t>125-AMBULANCE/EMS</t>
  </si>
  <si>
    <t>126-PARKS DEPARTMENT</t>
  </si>
  <si>
    <t>128-PURCHASING</t>
  </si>
  <si>
    <t>129-FINANCE</t>
  </si>
  <si>
    <t>131-SPECIAL SERVICES</t>
  </si>
  <si>
    <t>149-SPECIAL ITEMS</t>
  </si>
  <si>
    <t>160-MAIN STREET</t>
  </si>
  <si>
    <t>CURRENT AD VALOREM TAXES</t>
  </si>
  <si>
    <t>DELINQUENT AD VALOREM TAXES</t>
  </si>
  <si>
    <t>PENALTY &amp; INTEREST-AD VALOREM</t>
  </si>
  <si>
    <t>SALES TAX - 1% CITY</t>
  </si>
  <si>
    <t>FRANCHISE TAX</t>
  </si>
  <si>
    <t>MIXED DRINK TAX</t>
  </si>
  <si>
    <t>COURT TAX</t>
  </si>
  <si>
    <t>TRANSFER FROM ENTERPRISE</t>
  </si>
  <si>
    <t>TRANSFER FROM PERPETUAL CARE</t>
  </si>
  <si>
    <t>FINES &amp; FORFEITURES</t>
  </si>
  <si>
    <t>4150.COL</t>
  </si>
  <si>
    <t>COLLECTION FEES-COURT</t>
  </si>
  <si>
    <t>4150.DEF</t>
  </si>
  <si>
    <t>DEFERMENT FEE - COURT</t>
  </si>
  <si>
    <t>4150.DIS</t>
  </si>
  <si>
    <t>DISMISSAL FEE - COURT</t>
  </si>
  <si>
    <t>4150.REF</t>
  </si>
  <si>
    <t>FINES-REFUNDED TO STATE</t>
  </si>
  <si>
    <t>4150.SEC</t>
  </si>
  <si>
    <t>BUILDING SECURITY FUND</t>
  </si>
  <si>
    <t>4150.TEC</t>
  </si>
  <si>
    <t>COURT TECHNOLOGY FUND</t>
  </si>
  <si>
    <t>CONTRACTS-FIRE &amp; AMBULANCE</t>
  </si>
  <si>
    <t>AMBULANCE FEES</t>
  </si>
  <si>
    <t>4190.REF</t>
  </si>
  <si>
    <t>AMBULANCE REFUNDS, DELINQUENTS</t>
  </si>
  <si>
    <t>RENTALS &amp; LEASES</t>
  </si>
  <si>
    <t>4210.REF</t>
  </si>
  <si>
    <t>CLUB HOUSE DEPOSIT REFUNDS</t>
  </si>
  <si>
    <t>HOUSING AUTHORITY-LIEU TAX</t>
  </si>
  <si>
    <t>PERMITS</t>
  </si>
  <si>
    <t>PLUMBING INSPECTION FEES</t>
  </si>
  <si>
    <t>CEMETERY INCOME</t>
  </si>
  <si>
    <t>4290.LOT</t>
  </si>
  <si>
    <t>CEMETERY LOTS SOLD</t>
  </si>
  <si>
    <t>4290.O&amp;C</t>
  </si>
  <si>
    <t>CEMETERY OPEN/CLOSE</t>
  </si>
  <si>
    <t>4290.OVT</t>
  </si>
  <si>
    <t>CEMETERY OVERTIME CHARGED</t>
  </si>
  <si>
    <t>INTEREST INCOME-GENERAL</t>
  </si>
  <si>
    <t>DAMAGES TO CITY PROPERTY</t>
  </si>
  <si>
    <t>ADMINISTRATIVE CHG FROM ENTERP</t>
  </si>
  <si>
    <t>IN-LIEU SALES TAX FROM ENTERPR</t>
  </si>
  <si>
    <t>IN-LIEU FRANCHISE TAX-ENTERPRI</t>
  </si>
  <si>
    <t>DONATIONS RECEIVED</t>
  </si>
  <si>
    <t>4690.REF</t>
  </si>
  <si>
    <t>FUNDS PAID OUT OF DONATIONS</t>
  </si>
  <si>
    <t>MISCELLANEOUS REVENUE</t>
  </si>
  <si>
    <t>MISC REVENUE - CODE ENFORCEMNT</t>
  </si>
  <si>
    <t>4890.REF</t>
  </si>
  <si>
    <t>FUNDS PAID OUT OF COLLECTIONS</t>
  </si>
  <si>
    <t>GRANT REVENUE</t>
  </si>
  <si>
    <t>REIMBURSED PAYROLL</t>
  </si>
  <si>
    <t>REIMBURSED SUPPLIES</t>
  </si>
  <si>
    <t>REIMBURSED OTHER SERVICES</t>
  </si>
  <si>
    <t>REIMBURSED MAINTENANCE</t>
  </si>
  <si>
    <t>REIMBURSED CAPITAL ITEMS</t>
  </si>
  <si>
    <t>4990.LIB</t>
  </si>
  <si>
    <t>REIMBURSED - LIBRARY ELECTRICI</t>
  </si>
  <si>
    <t>5110-5101</t>
  </si>
  <si>
    <t>SALARIES &amp; WAGES</t>
  </si>
  <si>
    <t>5110-5101.101</t>
  </si>
  <si>
    <t>EMPLOYER HEALTH BENEFIT</t>
  </si>
  <si>
    <t>5110-5101.105</t>
  </si>
  <si>
    <t>EMPLOYER WORKERS COMPENSATION</t>
  </si>
  <si>
    <t>5110-5101.107</t>
  </si>
  <si>
    <t>UNEMPLOYMENT TAX</t>
  </si>
  <si>
    <t>5110-5101.129</t>
  </si>
  <si>
    <t>EMPLOYER FICA</t>
  </si>
  <si>
    <t>5110-5101.131</t>
  </si>
  <si>
    <t>EMPLOYER TMRS</t>
  </si>
  <si>
    <t>5110-5103</t>
  </si>
  <si>
    <t>OVERTIME</t>
  </si>
  <si>
    <t>5110-5105</t>
  </si>
  <si>
    <t>EXTRA HELP</t>
  </si>
  <si>
    <t>5110-5109</t>
  </si>
  <si>
    <t>CERTIFICATION PAY</t>
  </si>
  <si>
    <t>5110-5111</t>
  </si>
  <si>
    <t>LONGEVITY PAY</t>
  </si>
  <si>
    <t>5110-5113</t>
  </si>
  <si>
    <t>INCENTIVE PAY</t>
  </si>
  <si>
    <t>5110-5180</t>
  </si>
  <si>
    <t>DEPT COLA</t>
  </si>
  <si>
    <t>5110-5190</t>
  </si>
  <si>
    <t>DEPT MERIT</t>
  </si>
  <si>
    <t>SUPPLIES</t>
  </si>
  <si>
    <t>5110-5230</t>
  </si>
  <si>
    <t>MOTOR FUEL</t>
  </si>
  <si>
    <t>5111-5101</t>
  </si>
  <si>
    <t>5111-5101.101</t>
  </si>
  <si>
    <t>5111-5101.105</t>
  </si>
  <si>
    <t>5111-5101.107</t>
  </si>
  <si>
    <t>5111-5101.129</t>
  </si>
  <si>
    <t>5111-5180</t>
  </si>
  <si>
    <t>5111-5190</t>
  </si>
  <si>
    <t>5111-5201</t>
  </si>
  <si>
    <t>OFFICE SUPPLIES</t>
  </si>
  <si>
    <t>5111-5211</t>
  </si>
  <si>
    <t>ICE, COFFEE</t>
  </si>
  <si>
    <t>5111-5213</t>
  </si>
  <si>
    <t>POSTAGE</t>
  </si>
  <si>
    <t>5111-5215</t>
  </si>
  <si>
    <t>PRINTING</t>
  </si>
  <si>
    <t>5111-5217</t>
  </si>
  <si>
    <t>PUBLICATIONS</t>
  </si>
  <si>
    <t>5111-5219</t>
  </si>
  <si>
    <t>STATIONERY</t>
  </si>
  <si>
    <t>5111-5230</t>
  </si>
  <si>
    <t>5111-5235</t>
  </si>
  <si>
    <t>FOOD SUPPLIES</t>
  </si>
  <si>
    <t>5111-5245</t>
  </si>
  <si>
    <t>VEHICLE MAINT SUPPLIES</t>
  </si>
  <si>
    <t>5111-5251</t>
  </si>
  <si>
    <t>SUPPLIES-MINOR APPARATUS</t>
  </si>
  <si>
    <t>5111-5271</t>
  </si>
  <si>
    <t>EDUCATIONAL SUPPLIES</t>
  </si>
  <si>
    <t>OTHER SERVICES AND CHARGES</t>
  </si>
  <si>
    <t>5111-5301</t>
  </si>
  <si>
    <t>COMMUNICATIONS</t>
  </si>
  <si>
    <t>5111-5305</t>
  </si>
  <si>
    <t>SPECIAL SERVICES</t>
  </si>
  <si>
    <t>5111-5307</t>
  </si>
  <si>
    <t>RENTS</t>
  </si>
  <si>
    <t>5111-5308</t>
  </si>
  <si>
    <t>SIGNS</t>
  </si>
  <si>
    <t>5111-5309</t>
  </si>
  <si>
    <t>UTILITY SERVICE</t>
  </si>
  <si>
    <t>5111-5311</t>
  </si>
  <si>
    <t>FREIGHT, EXPRESS</t>
  </si>
  <si>
    <t>5111-5313</t>
  </si>
  <si>
    <t>SOLID WASTE DISPOSAL</t>
  </si>
  <si>
    <t>5111-5315</t>
  </si>
  <si>
    <t>DUES &amp; LICENSES</t>
  </si>
  <si>
    <t>5111-5317</t>
  </si>
  <si>
    <t>CONFERENCE &amp; TRAINING</t>
  </si>
  <si>
    <t>5111-5317.REF</t>
  </si>
  <si>
    <t>CONFERENCE &amp; TRAINING REFUNDS</t>
  </si>
  <si>
    <t>5111-5319</t>
  </si>
  <si>
    <t>HOUSEKEEPING</t>
  </si>
  <si>
    <t>5111-5321</t>
  </si>
  <si>
    <t>LEASE PURCHASE PRINCIPAL</t>
  </si>
  <si>
    <t>5111-5322</t>
  </si>
  <si>
    <t>5111-5381</t>
  </si>
  <si>
    <t>ADVERTISING</t>
  </si>
  <si>
    <t>MAINTENANCE</t>
  </si>
  <si>
    <t>5111-5461</t>
  </si>
  <si>
    <t>FURNITURE, FIXTURES</t>
  </si>
  <si>
    <t>5111-5463</t>
  </si>
  <si>
    <t>MACHINERY, TOOLS</t>
  </si>
  <si>
    <t>5111-5465</t>
  </si>
  <si>
    <t>MAINT - INSTRUMENTS &amp; APPARATU</t>
  </si>
  <si>
    <t>5111-5467</t>
  </si>
  <si>
    <t>MOTOR VEHICLES-GENERAL</t>
  </si>
  <si>
    <t>5111-5469</t>
  </si>
  <si>
    <t>OTHER VEHICLES</t>
  </si>
  <si>
    <t>5111-5471</t>
  </si>
  <si>
    <t>EDUCATIONAL, RECREATIONAL</t>
  </si>
  <si>
    <t>5112-5101</t>
  </si>
  <si>
    <t>5112-5101.101</t>
  </si>
  <si>
    <t>5112-5101.105</t>
  </si>
  <si>
    <t>5112-5101.107</t>
  </si>
  <si>
    <t>5112-5101.129</t>
  </si>
  <si>
    <t>5112-5101.131</t>
  </si>
  <si>
    <t>5112-5103</t>
  </si>
  <si>
    <t>5112-5105</t>
  </si>
  <si>
    <t>5112-5109</t>
  </si>
  <si>
    <t>5112-5111</t>
  </si>
  <si>
    <t>5112-5113</t>
  </si>
  <si>
    <t>5112-5180</t>
  </si>
  <si>
    <t>5112-5190</t>
  </si>
  <si>
    <t>5112-5201</t>
  </si>
  <si>
    <t>5112-5211</t>
  </si>
  <si>
    <t>5112-5213</t>
  </si>
  <si>
    <t>5112-5215</t>
  </si>
  <si>
    <t>5112-5217</t>
  </si>
  <si>
    <t>5112-5219</t>
  </si>
  <si>
    <t>5112-5230</t>
  </si>
  <si>
    <t>5112-5231</t>
  </si>
  <si>
    <t>FUEL SUPPLIES</t>
  </si>
  <si>
    <t>5112-5235</t>
  </si>
  <si>
    <t>5112-5241</t>
  </si>
  <si>
    <t>WEARING APPAREL</t>
  </si>
  <si>
    <t>5112-5241.REF</t>
  </si>
  <si>
    <t>WEARING APPAREL REFUND TO CITY</t>
  </si>
  <si>
    <t>5112-5245</t>
  </si>
  <si>
    <t>5112-5251</t>
  </si>
  <si>
    <t>5112-5255</t>
  </si>
  <si>
    <t>LAUNDRY &amp; CLEANING SUPPLIES</t>
  </si>
  <si>
    <t>5112-5261</t>
  </si>
  <si>
    <t>CHEMICAL &amp; MEDICAL SUPPLIES</t>
  </si>
  <si>
    <t>5112-5265</t>
  </si>
  <si>
    <t>MECHANICAL SUPPLIES</t>
  </si>
  <si>
    <t>5112-5271</t>
  </si>
  <si>
    <t>5112-5275</t>
  </si>
  <si>
    <t>BOTANICAL &amp; AGRICULTURAL</t>
  </si>
  <si>
    <t>5112-5301</t>
  </si>
  <si>
    <t>5112-5303</t>
  </si>
  <si>
    <t>HIRE OF EQUIPMENT</t>
  </si>
  <si>
    <t>5112-5305</t>
  </si>
  <si>
    <t>5112-5307</t>
  </si>
  <si>
    <t>5112-5308</t>
  </si>
  <si>
    <t>5112-5309</t>
  </si>
  <si>
    <t>5112-5311</t>
  </si>
  <si>
    <t>5112-5313</t>
  </si>
  <si>
    <t>5112-5315</t>
  </si>
  <si>
    <t>5112-5317</t>
  </si>
  <si>
    <t>5112-5317.REF</t>
  </si>
  <si>
    <t>5112-5319</t>
  </si>
  <si>
    <t>5112-5321</t>
  </si>
  <si>
    <t>5112-5322</t>
  </si>
  <si>
    <t>LEASE PAYMENT INTEREST</t>
  </si>
  <si>
    <t>5112-5381</t>
  </si>
  <si>
    <t>5112-5431</t>
  </si>
  <si>
    <t>BUILDINGS</t>
  </si>
  <si>
    <t>5112-5439</t>
  </si>
  <si>
    <t>SIDEWALKS, CURBS, GUTTERS</t>
  </si>
  <si>
    <t>5112-5445</t>
  </si>
  <si>
    <t>STREET, ROADWAYS, ALLEYS</t>
  </si>
  <si>
    <t>5112-5461</t>
  </si>
  <si>
    <t>5112-5463</t>
  </si>
  <si>
    <t>5112-5465</t>
  </si>
  <si>
    <t>5112-5467</t>
  </si>
  <si>
    <t>5112-5469</t>
  </si>
  <si>
    <t>5112-5471</t>
  </si>
  <si>
    <t>5112-5477</t>
  </si>
  <si>
    <t>HEATING &amp; COOLING</t>
  </si>
  <si>
    <t>CAPITAL OUTLAY</t>
  </si>
  <si>
    <t>5112-5565</t>
  </si>
  <si>
    <t>CAPITAL - INSTRUMENTS &amp; APPARA</t>
  </si>
  <si>
    <t>5113-5101</t>
  </si>
  <si>
    <t>5113-5101.101</t>
  </si>
  <si>
    <t>5113-5101.105</t>
  </si>
  <si>
    <t>5113-5101.107</t>
  </si>
  <si>
    <t>5113-5101.129</t>
  </si>
  <si>
    <t>5113-5101.131</t>
  </si>
  <si>
    <t>5113-5103</t>
  </si>
  <si>
    <t>5113-5105</t>
  </si>
  <si>
    <t>5113-5109</t>
  </si>
  <si>
    <t>5113-5111</t>
  </si>
  <si>
    <t>5113-5113</t>
  </si>
  <si>
    <t>5113-5180</t>
  </si>
  <si>
    <t>5113-5190</t>
  </si>
  <si>
    <t>5113-5201</t>
  </si>
  <si>
    <t>5113-5211</t>
  </si>
  <si>
    <t>5113-5213</t>
  </si>
  <si>
    <t>5113-5215</t>
  </si>
  <si>
    <t>5113-5217</t>
  </si>
  <si>
    <t>5113-5219</t>
  </si>
  <si>
    <t>5113-5230</t>
  </si>
  <si>
    <t>5113-5241</t>
  </si>
  <si>
    <t>5113-5241.REF</t>
  </si>
  <si>
    <t>5113-5251</t>
  </si>
  <si>
    <t>5113-5255</t>
  </si>
  <si>
    <t>5113-5261</t>
  </si>
  <si>
    <t>5113-5271</t>
  </si>
  <si>
    <t>5113-5301</t>
  </si>
  <si>
    <t>5113-5303</t>
  </si>
  <si>
    <t>5113-5305</t>
  </si>
  <si>
    <t>5113-5307</t>
  </si>
  <si>
    <t>5113-5308</t>
  </si>
  <si>
    <t>5113-5309</t>
  </si>
  <si>
    <t>5113-5311</t>
  </si>
  <si>
    <t>5113-5312</t>
  </si>
  <si>
    <t>ELECTION EXPENSE</t>
  </si>
  <si>
    <t>5113-5313</t>
  </si>
  <si>
    <t>5113-5315</t>
  </si>
  <si>
    <t>5113-5317</t>
  </si>
  <si>
    <t>5113-5319</t>
  </si>
  <si>
    <t>5113-5321</t>
  </si>
  <si>
    <t>5113-5322</t>
  </si>
  <si>
    <t>5113-5381</t>
  </si>
  <si>
    <t>5113-5455.MR</t>
  </si>
  <si>
    <t>CITY HALL WATER DMG MAKE READY</t>
  </si>
  <si>
    <t>5113-5461</t>
  </si>
  <si>
    <t>5113-5463</t>
  </si>
  <si>
    <t>5113-5465</t>
  </si>
  <si>
    <t>5113-5471</t>
  </si>
  <si>
    <t>5113-5477</t>
  </si>
  <si>
    <t>5113-5565</t>
  </si>
  <si>
    <t>5114-5101</t>
  </si>
  <si>
    <t>5114-5101.101</t>
  </si>
  <si>
    <t>5114-5101.105</t>
  </si>
  <si>
    <t>5114-5101.107</t>
  </si>
  <si>
    <t>5114-5101.129</t>
  </si>
  <si>
    <t>5114-5101.131</t>
  </si>
  <si>
    <t>5114-5103</t>
  </si>
  <si>
    <t>5114-5105</t>
  </si>
  <si>
    <t>5114-5109</t>
  </si>
  <si>
    <t>5114-5111</t>
  </si>
  <si>
    <t>5114-5113</t>
  </si>
  <si>
    <t>5114-5180</t>
  </si>
  <si>
    <t>5114-5190</t>
  </si>
  <si>
    <t>5114-5201</t>
  </si>
  <si>
    <t>5114-5211</t>
  </si>
  <si>
    <t>5114-5213</t>
  </si>
  <si>
    <t>5114-5215</t>
  </si>
  <si>
    <t>5114-5217</t>
  </si>
  <si>
    <t>5114-5219</t>
  </si>
  <si>
    <t>5114-5230</t>
  </si>
  <si>
    <t>5114-5251</t>
  </si>
  <si>
    <t>5114-5301</t>
  </si>
  <si>
    <t>5114-5303</t>
  </si>
  <si>
    <t>5114-5305</t>
  </si>
  <si>
    <t>5114-5309</t>
  </si>
  <si>
    <t>5114-5311</t>
  </si>
  <si>
    <t>5114-5315</t>
  </si>
  <si>
    <t>5114-5317</t>
  </si>
  <si>
    <t>5114-5317.REF</t>
  </si>
  <si>
    <t>5114-5381</t>
  </si>
  <si>
    <t>5114-5455</t>
  </si>
  <si>
    <t>OTHER</t>
  </si>
  <si>
    <t>5114-5461</t>
  </si>
  <si>
    <t>5114-5463</t>
  </si>
  <si>
    <t>5114-5465</t>
  </si>
  <si>
    <t>5114-5471</t>
  </si>
  <si>
    <t>5114-5477</t>
  </si>
  <si>
    <t>5114-5555</t>
  </si>
  <si>
    <t>5114-5561</t>
  </si>
  <si>
    <t>5114-5563</t>
  </si>
  <si>
    <t>5114-5565</t>
  </si>
  <si>
    <t>5116-5101</t>
  </si>
  <si>
    <t>5116-5101.101</t>
  </si>
  <si>
    <t>5116-5101.105</t>
  </si>
  <si>
    <t>5116-5101.107</t>
  </si>
  <si>
    <t>5116-5101.129</t>
  </si>
  <si>
    <t>5116-5101.131</t>
  </si>
  <si>
    <t>5116-5103</t>
  </si>
  <si>
    <t>5116-5105</t>
  </si>
  <si>
    <t>5116-5109</t>
  </si>
  <si>
    <t>5116-5111</t>
  </si>
  <si>
    <t>5116-5113</t>
  </si>
  <si>
    <t>5116-5180</t>
  </si>
  <si>
    <t>5116-5190</t>
  </si>
  <si>
    <t>5116-5201</t>
  </si>
  <si>
    <t>5116-5213</t>
  </si>
  <si>
    <t>5116-5215</t>
  </si>
  <si>
    <t>5116-5217</t>
  </si>
  <si>
    <t>5116-5219</t>
  </si>
  <si>
    <t>5116-5230</t>
  </si>
  <si>
    <t>5116-5231</t>
  </si>
  <si>
    <t>5116-5241</t>
  </si>
  <si>
    <t>5116-5245</t>
  </si>
  <si>
    <t>5116-5251</t>
  </si>
  <si>
    <t>5116-5261</t>
  </si>
  <si>
    <t>5116-5265</t>
  </si>
  <si>
    <t>5116-5275</t>
  </si>
  <si>
    <t>5116-5301</t>
  </si>
  <si>
    <t>5116-5303</t>
  </si>
  <si>
    <t>5116-5305</t>
  </si>
  <si>
    <t>5116-5309</t>
  </si>
  <si>
    <t>5116-5311</t>
  </si>
  <si>
    <t>5116-5315</t>
  </si>
  <si>
    <t>5116-5317</t>
  </si>
  <si>
    <t>5116-5321</t>
  </si>
  <si>
    <t>5116-5322</t>
  </si>
  <si>
    <t>5116-5381</t>
  </si>
  <si>
    <t>5116-5455</t>
  </si>
  <si>
    <t>5116-5467</t>
  </si>
  <si>
    <t>5116-5469</t>
  </si>
  <si>
    <t>5116-5555</t>
  </si>
  <si>
    <t>5116-5563</t>
  </si>
  <si>
    <t>5116-5565</t>
  </si>
  <si>
    <t>5116-5567</t>
  </si>
  <si>
    <t>MOTOR VEHICLES</t>
  </si>
  <si>
    <t>5116-5569</t>
  </si>
  <si>
    <t>5118-5101</t>
  </si>
  <si>
    <t>5118-5101.101</t>
  </si>
  <si>
    <t>5118-5101.105</t>
  </si>
  <si>
    <t>5118-5101.107</t>
  </si>
  <si>
    <t>5118-5101.129</t>
  </si>
  <si>
    <t>5118-5101.131</t>
  </si>
  <si>
    <t>5118-5103</t>
  </si>
  <si>
    <t>5118-5105</t>
  </si>
  <si>
    <t>5118-5109</t>
  </si>
  <si>
    <t>5118-5111</t>
  </si>
  <si>
    <t>5118-5113</t>
  </si>
  <si>
    <t>5118-5180</t>
  </si>
  <si>
    <t>5118-5190</t>
  </si>
  <si>
    <t>5118-5201</t>
  </si>
  <si>
    <t>5118-5211</t>
  </si>
  <si>
    <t>5118-5213</t>
  </si>
  <si>
    <t>5118-5215</t>
  </si>
  <si>
    <t>5118-5217</t>
  </si>
  <si>
    <t>5118-5219</t>
  </si>
  <si>
    <t>5118-5230</t>
  </si>
  <si>
    <t>5118-5231</t>
  </si>
  <si>
    <t>5118-5235</t>
  </si>
  <si>
    <t>5118-5241</t>
  </si>
  <si>
    <t>5118-5241.REF</t>
  </si>
  <si>
    <t>5118-5245</t>
  </si>
  <si>
    <t>5118-5251</t>
  </si>
  <si>
    <t>5118-5255</t>
  </si>
  <si>
    <t>5118-5261</t>
  </si>
  <si>
    <t>5118-5265</t>
  </si>
  <si>
    <t>5118-5271</t>
  </si>
  <si>
    <t>5118-5275</t>
  </si>
  <si>
    <t>5118-5301</t>
  </si>
  <si>
    <t>5118-5303</t>
  </si>
  <si>
    <t>5118-5305</t>
  </si>
  <si>
    <t>5118-5306</t>
  </si>
  <si>
    <t>ENGINEERING EXPENSE</t>
  </si>
  <si>
    <t>5118-5307</t>
  </si>
  <si>
    <t>5118-5308</t>
  </si>
  <si>
    <t>5118-5309</t>
  </si>
  <si>
    <t>5118-5311</t>
  </si>
  <si>
    <t>5118-5313</t>
  </si>
  <si>
    <t>5118-5315</t>
  </si>
  <si>
    <t>5118-5317</t>
  </si>
  <si>
    <t>5118-5317.REF</t>
  </si>
  <si>
    <t>5118-5319</t>
  </si>
  <si>
    <t>5118-5321</t>
  </si>
  <si>
    <t>5118-5322</t>
  </si>
  <si>
    <t>5118-5381</t>
  </si>
  <si>
    <t>5118-5427</t>
  </si>
  <si>
    <t>MATERIALS</t>
  </si>
  <si>
    <t>5118-5429</t>
  </si>
  <si>
    <t>LAND</t>
  </si>
  <si>
    <t>5118-5431</t>
  </si>
  <si>
    <t>5118-5433</t>
  </si>
  <si>
    <t>BRIDGES &amp; CULVERTS</t>
  </si>
  <si>
    <t>5118-5437</t>
  </si>
  <si>
    <t>SANITARY SEWAGE</t>
  </si>
  <si>
    <t>5118-5439</t>
  </si>
  <si>
    <t>5118-5441</t>
  </si>
  <si>
    <t>STORM SEWERS</t>
  </si>
  <si>
    <t>5118-5443</t>
  </si>
  <si>
    <t>WATER RESERVOIRS</t>
  </si>
  <si>
    <t>5118-5445</t>
  </si>
  <si>
    <t>5118-5455</t>
  </si>
  <si>
    <t>5118-5461</t>
  </si>
  <si>
    <t>5118-5463</t>
  </si>
  <si>
    <t>5118-5465</t>
  </si>
  <si>
    <t>5118-5467</t>
  </si>
  <si>
    <t>5118-5469</t>
  </si>
  <si>
    <t>5118-5471</t>
  </si>
  <si>
    <t>5118-5477</t>
  </si>
  <si>
    <t>5118-5529</t>
  </si>
  <si>
    <t>5118-5555</t>
  </si>
  <si>
    <t>5118-5561</t>
  </si>
  <si>
    <t>5118-5563</t>
  </si>
  <si>
    <t>5118-5565</t>
  </si>
  <si>
    <t>5118-5565.REF</t>
  </si>
  <si>
    <t>LEASE REIMBURSEMENT</t>
  </si>
  <si>
    <t>5118-5567</t>
  </si>
  <si>
    <t>5118-5569</t>
  </si>
  <si>
    <t>5119-5101</t>
  </si>
  <si>
    <t>5119-5101.101</t>
  </si>
  <si>
    <t>5119-5101.105</t>
  </si>
  <si>
    <t>5119-5101.107</t>
  </si>
  <si>
    <t>5119-5101.129</t>
  </si>
  <si>
    <t>5119-5101.131</t>
  </si>
  <si>
    <t>5119-5101.REF</t>
  </si>
  <si>
    <t>5119-5103</t>
  </si>
  <si>
    <t>5119-5105</t>
  </si>
  <si>
    <t>5119-5109</t>
  </si>
  <si>
    <t>5119-5111</t>
  </si>
  <si>
    <t>5119-5113</t>
  </si>
  <si>
    <t>5119-5180</t>
  </si>
  <si>
    <t>5119-5190</t>
  </si>
  <si>
    <t>5119-5201</t>
  </si>
  <si>
    <t>5119-5211</t>
  </si>
  <si>
    <t>5119-5213</t>
  </si>
  <si>
    <t>5119-5215</t>
  </si>
  <si>
    <t>5119-5217</t>
  </si>
  <si>
    <t>5119-5219</t>
  </si>
  <si>
    <t>5119-5230</t>
  </si>
  <si>
    <t>5119-5231</t>
  </si>
  <si>
    <t>5119-5235</t>
  </si>
  <si>
    <t>5119-5241</t>
  </si>
  <si>
    <t>5119-5241.REF</t>
  </si>
  <si>
    <t>5119-5245</t>
  </si>
  <si>
    <t>5119-5251</t>
  </si>
  <si>
    <t>5119-5255</t>
  </si>
  <si>
    <t>5119-5261</t>
  </si>
  <si>
    <t>5119-5265</t>
  </si>
  <si>
    <t>5119-5271</t>
  </si>
  <si>
    <t>5119-5275</t>
  </si>
  <si>
    <t>5119-5301</t>
  </si>
  <si>
    <t>5119-5303</t>
  </si>
  <si>
    <t>5119-5305</t>
  </si>
  <si>
    <t>5119-5307</t>
  </si>
  <si>
    <t>5119-5308</t>
  </si>
  <si>
    <t>5119-5309</t>
  </si>
  <si>
    <t>5119-5311</t>
  </si>
  <si>
    <t>5119-5313</t>
  </si>
  <si>
    <t>5119-5315</t>
  </si>
  <si>
    <t>5119-5317</t>
  </si>
  <si>
    <t>5119-5319</t>
  </si>
  <si>
    <t>5119-5321</t>
  </si>
  <si>
    <t>5119-5322</t>
  </si>
  <si>
    <t>5119-5381</t>
  </si>
  <si>
    <t>5119-5427</t>
  </si>
  <si>
    <t>5119-5429</t>
  </si>
  <si>
    <t>5119-5431</t>
  </si>
  <si>
    <t>5119-5437</t>
  </si>
  <si>
    <t>5119-5455</t>
  </si>
  <si>
    <t>5119-5461</t>
  </si>
  <si>
    <t>5119-5463</t>
  </si>
  <si>
    <t>5119-5465</t>
  </si>
  <si>
    <t>5119-5467</t>
  </si>
  <si>
    <t>5119-5469</t>
  </si>
  <si>
    <t>5119-5471</t>
  </si>
  <si>
    <t>5119-5477</t>
  </si>
  <si>
    <t>5119-5555</t>
  </si>
  <si>
    <t>5119-5561</t>
  </si>
  <si>
    <t>5119-5563</t>
  </si>
  <si>
    <t>5119-5565</t>
  </si>
  <si>
    <t>5119-5567</t>
  </si>
  <si>
    <t>5119-5569</t>
  </si>
  <si>
    <t>5119-5577</t>
  </si>
  <si>
    <t>5120-5101</t>
  </si>
  <si>
    <t>5120-5101.101</t>
  </si>
  <si>
    <t>5120-5101.105</t>
  </si>
  <si>
    <t>5120-5101.107</t>
  </si>
  <si>
    <t>5120-5101.129</t>
  </si>
  <si>
    <t>5120-5101.131</t>
  </si>
  <si>
    <t>5120-5101.REF</t>
  </si>
  <si>
    <t>SALARIES REFUNDED - W/C</t>
  </si>
  <si>
    <t>5120-5103</t>
  </si>
  <si>
    <t>5120-5103.REF</t>
  </si>
  <si>
    <t>OVERTIME REFUNDED TO CITY</t>
  </si>
  <si>
    <t>5120-5105</t>
  </si>
  <si>
    <t>5120-5109</t>
  </si>
  <si>
    <t>5120-5111</t>
  </si>
  <si>
    <t>5120-5113</t>
  </si>
  <si>
    <t>5120-5180</t>
  </si>
  <si>
    <t>5120-5190</t>
  </si>
  <si>
    <t>5120-5201</t>
  </si>
  <si>
    <t>5120-5211</t>
  </si>
  <si>
    <t>5120-5213</t>
  </si>
  <si>
    <t>5120-5215</t>
  </si>
  <si>
    <t>5120-5217</t>
  </si>
  <si>
    <t>5120-5219</t>
  </si>
  <si>
    <t>5120-5219.REF</t>
  </si>
  <si>
    <t>NOTARY FEES REFUNDED</t>
  </si>
  <si>
    <t>5120-5230</t>
  </si>
  <si>
    <t>5120-5231</t>
  </si>
  <si>
    <t>5120-5235</t>
  </si>
  <si>
    <t>5120-5241</t>
  </si>
  <si>
    <t>5120-5241.REF</t>
  </si>
  <si>
    <t>5120-5245</t>
  </si>
  <si>
    <t>5120-5251</t>
  </si>
  <si>
    <t>5120-5255</t>
  </si>
  <si>
    <t>5120-5261</t>
  </si>
  <si>
    <t>5120-5265</t>
  </si>
  <si>
    <t>5120-5271</t>
  </si>
  <si>
    <t>5120-5272</t>
  </si>
  <si>
    <t>AMMUNITION EXPENSE</t>
  </si>
  <si>
    <t>5120-5275</t>
  </si>
  <si>
    <t>5120-5281</t>
  </si>
  <si>
    <t>K-9 CARE</t>
  </si>
  <si>
    <t>5120-5301</t>
  </si>
  <si>
    <t>5120-5301.REF</t>
  </si>
  <si>
    <t>COMMUNICATIONS REFUNDS</t>
  </si>
  <si>
    <t>5120-5303</t>
  </si>
  <si>
    <t>5120-5305</t>
  </si>
  <si>
    <t>5120-5306</t>
  </si>
  <si>
    <t>DRUG TASK FORCE EXPENDITURES</t>
  </si>
  <si>
    <t>5120-5307</t>
  </si>
  <si>
    <t>VISD EXPENSES(OFFSET 4990-300)</t>
  </si>
  <si>
    <t>5120-5308</t>
  </si>
  <si>
    <t>5120-5309</t>
  </si>
  <si>
    <t>5120-5311</t>
  </si>
  <si>
    <t>5120-5313</t>
  </si>
  <si>
    <t>5120-5315</t>
  </si>
  <si>
    <t>5120-5317</t>
  </si>
  <si>
    <t>5120-5317.REF</t>
  </si>
  <si>
    <t>5120-5318</t>
  </si>
  <si>
    <t>MEALS - INVESTIGATIONS</t>
  </si>
  <si>
    <t>5120-5318.REF</t>
  </si>
  <si>
    <t>MEALS - INVESTIGATIONS (REFUND</t>
  </si>
  <si>
    <t>5120-5319</t>
  </si>
  <si>
    <t>5120-5321</t>
  </si>
  <si>
    <t>5120-5322</t>
  </si>
  <si>
    <t>5120-5381</t>
  </si>
  <si>
    <t>5120-5427</t>
  </si>
  <si>
    <t>5120-5429</t>
  </si>
  <si>
    <t>5120-5431</t>
  </si>
  <si>
    <t>5120-5455</t>
  </si>
  <si>
    <t>5120-5455.MR</t>
  </si>
  <si>
    <t>OTHER-MAKE READY NEW PDSTATION</t>
  </si>
  <si>
    <t>5120-5461</t>
  </si>
  <si>
    <t>5120-5463</t>
  </si>
  <si>
    <t>5120-5465</t>
  </si>
  <si>
    <t>5120-5467</t>
  </si>
  <si>
    <t>5120-5469</t>
  </si>
  <si>
    <t>5120-5471</t>
  </si>
  <si>
    <t>5120-5477</t>
  </si>
  <si>
    <t>5120-5555</t>
  </si>
  <si>
    <t>5120-5561</t>
  </si>
  <si>
    <t>5120-5563</t>
  </si>
  <si>
    <t>5120-5565</t>
  </si>
  <si>
    <t>5120-5565.REF</t>
  </si>
  <si>
    <t>5120-5567</t>
  </si>
  <si>
    <t>5120-5569</t>
  </si>
  <si>
    <t>5120-5577</t>
  </si>
  <si>
    <t>5121-5101</t>
  </si>
  <si>
    <t>5121-5101.101</t>
  </si>
  <si>
    <t>5121-5101.105</t>
  </si>
  <si>
    <t>5121-5101.107</t>
  </si>
  <si>
    <t>5121-5101.129</t>
  </si>
  <si>
    <t>5121-5101.131</t>
  </si>
  <si>
    <t>5121-5103</t>
  </si>
  <si>
    <t>5121-5105</t>
  </si>
  <si>
    <t>5121-5109</t>
  </si>
  <si>
    <t>5121-5111</t>
  </si>
  <si>
    <t>5121-5113</t>
  </si>
  <si>
    <t>5121-5180</t>
  </si>
  <si>
    <t>5121-5190</t>
  </si>
  <si>
    <t>5121-5201</t>
  </si>
  <si>
    <t>5121-5211</t>
  </si>
  <si>
    <t>5121-5213</t>
  </si>
  <si>
    <t>5121-5215</t>
  </si>
  <si>
    <t>5121-5217</t>
  </si>
  <si>
    <t>5121-5219</t>
  </si>
  <si>
    <t>5121-5230</t>
  </si>
  <si>
    <t>5121-5231</t>
  </si>
  <si>
    <t>5121-5235</t>
  </si>
  <si>
    <t>5121-5241</t>
  </si>
  <si>
    <t>5121-5241.REF</t>
  </si>
  <si>
    <t>5121-5245</t>
  </si>
  <si>
    <t>5121-5245.REF</t>
  </si>
  <si>
    <t>5121-5251</t>
  </si>
  <si>
    <t>5121-5251.REF</t>
  </si>
  <si>
    <t>SUPPLIES MINOR APP-REFND/DONTN</t>
  </si>
  <si>
    <t>5121-5255</t>
  </si>
  <si>
    <t>5121-5261</t>
  </si>
  <si>
    <t>5121-5261.REF</t>
  </si>
  <si>
    <t>5121-5265</t>
  </si>
  <si>
    <t>5121-5271</t>
  </si>
  <si>
    <t>5121-5275</t>
  </si>
  <si>
    <t>5121-5301</t>
  </si>
  <si>
    <t>5121-5303</t>
  </si>
  <si>
    <t>5121-5305</t>
  </si>
  <si>
    <t>5121-5305.REF</t>
  </si>
  <si>
    <t>SPECIAL SERVICES ITEM REFUNDS</t>
  </si>
  <si>
    <t>5121-5307</t>
  </si>
  <si>
    <t>5121-5308</t>
  </si>
  <si>
    <t>5121-5309</t>
  </si>
  <si>
    <t>5121-5309.REF</t>
  </si>
  <si>
    <t>UTILITIES REFUNDS</t>
  </si>
  <si>
    <t>5121-5311</t>
  </si>
  <si>
    <t>5121-5313</t>
  </si>
  <si>
    <t>5121-5315</t>
  </si>
  <si>
    <t>5121-5317</t>
  </si>
  <si>
    <t>5121-5317.REF</t>
  </si>
  <si>
    <t>5121-5318</t>
  </si>
  <si>
    <t>MEALS - TRANSFERS</t>
  </si>
  <si>
    <t>5121-5318.REF</t>
  </si>
  <si>
    <t>MEALS - TRANSFERS (REFUND)</t>
  </si>
  <si>
    <t>5121-5319</t>
  </si>
  <si>
    <t>5121-5321</t>
  </si>
  <si>
    <t>5121-5322</t>
  </si>
  <si>
    <t>5121-5381</t>
  </si>
  <si>
    <t>5121-5427</t>
  </si>
  <si>
    <t>5121-5429</t>
  </si>
  <si>
    <t>5121-5431</t>
  </si>
  <si>
    <t>5121-5455</t>
  </si>
  <si>
    <t>5121-5461</t>
  </si>
  <si>
    <t>5121-5463</t>
  </si>
  <si>
    <t>5121-5465</t>
  </si>
  <si>
    <t>5121-5467</t>
  </si>
  <si>
    <t>5121-5467.302</t>
  </si>
  <si>
    <t>UNIT# 302-2001 FREIGHTLINER</t>
  </si>
  <si>
    <t>5121-5467.308</t>
  </si>
  <si>
    <t>UNIT 308-'01 FORD EXTCAB 1 TON</t>
  </si>
  <si>
    <t>5121-5467.322</t>
  </si>
  <si>
    <t>COUNTY GI JOE TRUCK</t>
  </si>
  <si>
    <t>5121-5469</t>
  </si>
  <si>
    <t>5121-5471</t>
  </si>
  <si>
    <t>5121-5473</t>
  </si>
  <si>
    <t>FIRE HOSE</t>
  </si>
  <si>
    <t>5121-5477</t>
  </si>
  <si>
    <t>5121-5529</t>
  </si>
  <si>
    <t>5121-5541</t>
  </si>
  <si>
    <t>5121-5555</t>
  </si>
  <si>
    <t>5121-5561</t>
  </si>
  <si>
    <t>5121-5563</t>
  </si>
  <si>
    <t>5121-5565</t>
  </si>
  <si>
    <t>5121-5565.REF</t>
  </si>
  <si>
    <t>5121-5567</t>
  </si>
  <si>
    <t>5121-5569</t>
  </si>
  <si>
    <t>5121-5573</t>
  </si>
  <si>
    <t>FIRE HYDRANTS (HOSE)</t>
  </si>
  <si>
    <t>5121-5577</t>
  </si>
  <si>
    <t>5122-5101</t>
  </si>
  <si>
    <t>5122-5101.101</t>
  </si>
  <si>
    <t>5122-5101.105</t>
  </si>
  <si>
    <t>5122-5101.107</t>
  </si>
  <si>
    <t>5122-5101.129</t>
  </si>
  <si>
    <t>5122-5101.131</t>
  </si>
  <si>
    <t>5122-5103</t>
  </si>
  <si>
    <t>5122-5105</t>
  </si>
  <si>
    <t>5122-5109</t>
  </si>
  <si>
    <t>5122-5111</t>
  </si>
  <si>
    <t>5122-5113</t>
  </si>
  <si>
    <t>5122-5180</t>
  </si>
  <si>
    <t>5122-5190</t>
  </si>
  <si>
    <t>5122-5201</t>
  </si>
  <si>
    <t>5122-5211</t>
  </si>
  <si>
    <t>5122-5213</t>
  </si>
  <si>
    <t>5122-5215</t>
  </si>
  <si>
    <t>5122-5217</t>
  </si>
  <si>
    <t>5122-5219</t>
  </si>
  <si>
    <t>5122-5230</t>
  </si>
  <si>
    <t>5122-5231</t>
  </si>
  <si>
    <t>5122-5235</t>
  </si>
  <si>
    <t>5122-5241</t>
  </si>
  <si>
    <t>5122-5241.REF</t>
  </si>
  <si>
    <t>5122-5245</t>
  </si>
  <si>
    <t>5122-5251</t>
  </si>
  <si>
    <t>5122-5255</t>
  </si>
  <si>
    <t>5122-5261</t>
  </si>
  <si>
    <t>5122-5265</t>
  </si>
  <si>
    <t>5122-5271</t>
  </si>
  <si>
    <t>5122-5275</t>
  </si>
  <si>
    <t>5122-5301</t>
  </si>
  <si>
    <t>5122-5303</t>
  </si>
  <si>
    <t>5122-5305</t>
  </si>
  <si>
    <t>5122-5307</t>
  </si>
  <si>
    <t>5122-5308</t>
  </si>
  <si>
    <t>5122-5309</t>
  </si>
  <si>
    <t>5122-5311</t>
  </si>
  <si>
    <t>5122-5313</t>
  </si>
  <si>
    <t>5122-5315</t>
  </si>
  <si>
    <t>5122-5317</t>
  </si>
  <si>
    <t>5122-5319</t>
  </si>
  <si>
    <t>5122-5321</t>
  </si>
  <si>
    <t>5122-5381</t>
  </si>
  <si>
    <t>5122-5427</t>
  </si>
  <si>
    <t>5122-5429</t>
  </si>
  <si>
    <t>5122-5431</t>
  </si>
  <si>
    <t>5122-5439</t>
  </si>
  <si>
    <t>5122-5445</t>
  </si>
  <si>
    <t>5122-5455</t>
  </si>
  <si>
    <t>5122-5461</t>
  </si>
  <si>
    <t>5122-5463</t>
  </si>
  <si>
    <t>5122-5465</t>
  </si>
  <si>
    <t>5122-5467</t>
  </si>
  <si>
    <t>5122-5469</t>
  </si>
  <si>
    <t>5122-5471</t>
  </si>
  <si>
    <t>5122-5477</t>
  </si>
  <si>
    <t>5122-5479</t>
  </si>
  <si>
    <t>SERVICE CONNECTIONS</t>
  </si>
  <si>
    <t>5122-5481</t>
  </si>
  <si>
    <t>WATERWORKS MAINS</t>
  </si>
  <si>
    <t>5122-5555</t>
  </si>
  <si>
    <t>5122-5561</t>
  </si>
  <si>
    <t>5122-5563</t>
  </si>
  <si>
    <t>5122-5565</t>
  </si>
  <si>
    <t>5122-5565.REF</t>
  </si>
  <si>
    <t>5122-5567</t>
  </si>
  <si>
    <t>5122-5569</t>
  </si>
  <si>
    <t>5122-5573</t>
  </si>
  <si>
    <t>FIRE HYDRANTS</t>
  </si>
  <si>
    <t>5122-5577</t>
  </si>
  <si>
    <t>5123-5101</t>
  </si>
  <si>
    <t>5123-5101.101</t>
  </si>
  <si>
    <t>5123-5101.105</t>
  </si>
  <si>
    <t>5123-5101.107</t>
  </si>
  <si>
    <t>5123-5101.129</t>
  </si>
  <si>
    <t>5123-5101.131</t>
  </si>
  <si>
    <t>5123-5103</t>
  </si>
  <si>
    <t>5123-5105</t>
  </si>
  <si>
    <t>5123-5109</t>
  </si>
  <si>
    <t>5123-5111</t>
  </si>
  <si>
    <t>5123-5113</t>
  </si>
  <si>
    <t>5123-5180</t>
  </si>
  <si>
    <t>5123-5190</t>
  </si>
  <si>
    <t>5123-5201</t>
  </si>
  <si>
    <t>5123-5211</t>
  </si>
  <si>
    <t>5123-5213</t>
  </si>
  <si>
    <t>5123-5215</t>
  </si>
  <si>
    <t>5123-5217</t>
  </si>
  <si>
    <t>5123-5219</t>
  </si>
  <si>
    <t>5123-5230</t>
  </si>
  <si>
    <t>5123-5241</t>
  </si>
  <si>
    <t>5123-5251</t>
  </si>
  <si>
    <t>5123-5271</t>
  </si>
  <si>
    <t>5123-5301</t>
  </si>
  <si>
    <t>5123-5305</t>
  </si>
  <si>
    <t>5123-5306</t>
  </si>
  <si>
    <t>SUPPORT FOR PRISONERS</t>
  </si>
  <si>
    <t>5123-5307</t>
  </si>
  <si>
    <t>5123-5308</t>
  </si>
  <si>
    <t>5123-5309</t>
  </si>
  <si>
    <t>5123-5311</t>
  </si>
  <si>
    <t>5123-5315</t>
  </si>
  <si>
    <t>5123-5317</t>
  </si>
  <si>
    <t>5123-5318.101</t>
  </si>
  <si>
    <t>STATE COURT TAX</t>
  </si>
  <si>
    <t>5123-5319</t>
  </si>
  <si>
    <t>5123-5320</t>
  </si>
  <si>
    <t>COURT COSTS, JURY FEES</t>
  </si>
  <si>
    <t>5123-5321</t>
  </si>
  <si>
    <t>5123-5322</t>
  </si>
  <si>
    <t>5123-5381</t>
  </si>
  <si>
    <t>5123-5399.SEC</t>
  </si>
  <si>
    <t>BLDG SECURITY FUND EXP</t>
  </si>
  <si>
    <t>5123-5399.TEC</t>
  </si>
  <si>
    <t>BLDG TECHNOLOGY FUND EXP</t>
  </si>
  <si>
    <t>5123-5455</t>
  </si>
  <si>
    <t>5123-5461</t>
  </si>
  <si>
    <t>5123-5463</t>
  </si>
  <si>
    <t>5123-5465</t>
  </si>
  <si>
    <t>5123-5469</t>
  </si>
  <si>
    <t>5123-5471</t>
  </si>
  <si>
    <t>5123-5477</t>
  </si>
  <si>
    <t>5123-5555</t>
  </si>
  <si>
    <t>5123-5561</t>
  </si>
  <si>
    <t>5123-5563</t>
  </si>
  <si>
    <t>5123-5565</t>
  </si>
  <si>
    <t>5123-5577</t>
  </si>
  <si>
    <t>5124-5101</t>
  </si>
  <si>
    <t>5124-5101.101</t>
  </si>
  <si>
    <t>5124-5101.105</t>
  </si>
  <si>
    <t>5124-5101.107</t>
  </si>
  <si>
    <t>5124-5101.129</t>
  </si>
  <si>
    <t>5124-5103</t>
  </si>
  <si>
    <t>5124-5105</t>
  </si>
  <si>
    <t>5124-5180</t>
  </si>
  <si>
    <t>5124-5190</t>
  </si>
  <si>
    <t>5124-5201</t>
  </si>
  <si>
    <t>5124-5211</t>
  </si>
  <si>
    <t>5124-5213</t>
  </si>
  <si>
    <t>5124-5215</t>
  </si>
  <si>
    <t>5124-5217</t>
  </si>
  <si>
    <t>5124-5219</t>
  </si>
  <si>
    <t>5124-5230</t>
  </si>
  <si>
    <t>5124-5235</t>
  </si>
  <si>
    <t>5124-5241</t>
  </si>
  <si>
    <t>5124-5241.REF</t>
  </si>
  <si>
    <t>5124-5251</t>
  </si>
  <si>
    <t>5124-5255</t>
  </si>
  <si>
    <t>5124-5261</t>
  </si>
  <si>
    <t>5124-5265</t>
  </si>
  <si>
    <t>5124-5275</t>
  </si>
  <si>
    <t>5124-5301</t>
  </si>
  <si>
    <t>5124-5305</t>
  </si>
  <si>
    <t>5124-5307</t>
  </si>
  <si>
    <t>5124-5309</t>
  </si>
  <si>
    <t>5124-5311</t>
  </si>
  <si>
    <t>5124-5313</t>
  </si>
  <si>
    <t>5124-5315</t>
  </si>
  <si>
    <t>5124-5317</t>
  </si>
  <si>
    <t>5124-5321</t>
  </si>
  <si>
    <t>5124-5322</t>
  </si>
  <si>
    <t>5124-5381</t>
  </si>
  <si>
    <t>5124-5431</t>
  </si>
  <si>
    <t>5124-5449</t>
  </si>
  <si>
    <t>SWIMMING POOL</t>
  </si>
  <si>
    <t>5124-5455</t>
  </si>
  <si>
    <t>5124-5461</t>
  </si>
  <si>
    <t>5124-5463</t>
  </si>
  <si>
    <t>5124-5465</t>
  </si>
  <si>
    <t>5124-5469</t>
  </si>
  <si>
    <t>5124-5471</t>
  </si>
  <si>
    <t>5124-5477</t>
  </si>
  <si>
    <t>5124-5531</t>
  </si>
  <si>
    <t>5124-5555</t>
  </si>
  <si>
    <t>5124-5561</t>
  </si>
  <si>
    <t>5124-5563</t>
  </si>
  <si>
    <t>5124-5565</t>
  </si>
  <si>
    <t>5124-5577</t>
  </si>
  <si>
    <t>5125-5101</t>
  </si>
  <si>
    <t>5125-5101.101</t>
  </si>
  <si>
    <t>5125-5101.105</t>
  </si>
  <si>
    <t>5125-5101.107</t>
  </si>
  <si>
    <t>5125-5101.129</t>
  </si>
  <si>
    <t>5125-5101.131</t>
  </si>
  <si>
    <t>5125-5103</t>
  </si>
  <si>
    <t>5125-5105</t>
  </si>
  <si>
    <t>5125-5109</t>
  </si>
  <si>
    <t>5125-5111</t>
  </si>
  <si>
    <t>5125-5113</t>
  </si>
  <si>
    <t>5125-5180</t>
  </si>
  <si>
    <t>5125-5190</t>
  </si>
  <si>
    <t>5125-5201</t>
  </si>
  <si>
    <t>5125-5211</t>
  </si>
  <si>
    <t>5125-5213</t>
  </si>
  <si>
    <t>5125-5215</t>
  </si>
  <si>
    <t>5125-5217</t>
  </si>
  <si>
    <t>5125-5219</t>
  </si>
  <si>
    <t>5125-5230</t>
  </si>
  <si>
    <t>5125-5231</t>
  </si>
  <si>
    <t>5125-5235</t>
  </si>
  <si>
    <t>5125-5241</t>
  </si>
  <si>
    <t>5125-5241.REF</t>
  </si>
  <si>
    <t>5125-5245</t>
  </si>
  <si>
    <t>5125-5251</t>
  </si>
  <si>
    <t>5125-5255</t>
  </si>
  <si>
    <t>5125-5261</t>
  </si>
  <si>
    <t>5125-5261.REF</t>
  </si>
  <si>
    <t>CHEMICAL &amp; MEDICAL - REFUNDS</t>
  </si>
  <si>
    <t>5125-5265</t>
  </si>
  <si>
    <t>5125-5271</t>
  </si>
  <si>
    <t>5125-5275</t>
  </si>
  <si>
    <t>5125-5301</t>
  </si>
  <si>
    <t>5125-5303</t>
  </si>
  <si>
    <t>5125-5305</t>
  </si>
  <si>
    <t>5125-5305.REF</t>
  </si>
  <si>
    <t>5125-5306</t>
  </si>
  <si>
    <t>BILLING/COLLECTION FEE-NRS</t>
  </si>
  <si>
    <t>5125-5307</t>
  </si>
  <si>
    <t>5125-5308</t>
  </si>
  <si>
    <t>5125-5309</t>
  </si>
  <si>
    <t>5125-5311</t>
  </si>
  <si>
    <t>5125-5313</t>
  </si>
  <si>
    <t>5125-5315</t>
  </si>
  <si>
    <t>5125-5317</t>
  </si>
  <si>
    <t>5125-5317.REF</t>
  </si>
  <si>
    <t>5125-5318</t>
  </si>
  <si>
    <t>5125-5318.REF</t>
  </si>
  <si>
    <t>5125-5319</t>
  </si>
  <si>
    <t>5125-5321</t>
  </si>
  <si>
    <t>5125-5322</t>
  </si>
  <si>
    <t>5125-5381</t>
  </si>
  <si>
    <t>5125-5427</t>
  </si>
  <si>
    <t>5125-5429</t>
  </si>
  <si>
    <t>5125-5431</t>
  </si>
  <si>
    <t>5125-5445</t>
  </si>
  <si>
    <t>5125-5455</t>
  </si>
  <si>
    <t>5125-5461</t>
  </si>
  <si>
    <t>5125-5463</t>
  </si>
  <si>
    <t>5125-5465</t>
  </si>
  <si>
    <t>5125-5467</t>
  </si>
  <si>
    <t>5125-5469</t>
  </si>
  <si>
    <t>5125-5471</t>
  </si>
  <si>
    <t>5125-5473</t>
  </si>
  <si>
    <t>5125-5477</t>
  </si>
  <si>
    <t>5125-5555</t>
  </si>
  <si>
    <t>5125-5561</t>
  </si>
  <si>
    <t>5125-5563</t>
  </si>
  <si>
    <t>5125-5565</t>
  </si>
  <si>
    <t>5125-5565.REF</t>
  </si>
  <si>
    <t>5125-5567</t>
  </si>
  <si>
    <t>5125-5569</t>
  </si>
  <si>
    <t>5125-5577</t>
  </si>
  <si>
    <t>5126-5101</t>
  </si>
  <si>
    <t>5126-5101.101</t>
  </si>
  <si>
    <t>5126-5101.105</t>
  </si>
  <si>
    <t>5126-5101.107</t>
  </si>
  <si>
    <t>5126-5101.129</t>
  </si>
  <si>
    <t>5126-5101.131</t>
  </si>
  <si>
    <t>5126-5103</t>
  </si>
  <si>
    <t>5126-5105</t>
  </si>
  <si>
    <t>5126-5109</t>
  </si>
  <si>
    <t>5126-5111</t>
  </si>
  <si>
    <t>5126-5113</t>
  </si>
  <si>
    <t>5126-5180</t>
  </si>
  <si>
    <t>5126-5190</t>
  </si>
  <si>
    <t>5126-5201</t>
  </si>
  <si>
    <t>5126-5211</t>
  </si>
  <si>
    <t>5126-5213</t>
  </si>
  <si>
    <t>5126-5215</t>
  </si>
  <si>
    <t>5126-5217</t>
  </si>
  <si>
    <t>5126-5219</t>
  </si>
  <si>
    <t>5126-5230</t>
  </si>
  <si>
    <t>5126-5231</t>
  </si>
  <si>
    <t>5126-5235</t>
  </si>
  <si>
    <t>5126-5241</t>
  </si>
  <si>
    <t>5126-5241.REF</t>
  </si>
  <si>
    <t>5126-5245</t>
  </si>
  <si>
    <t>5126-5251</t>
  </si>
  <si>
    <t>5126-5255</t>
  </si>
  <si>
    <t>5126-5261</t>
  </si>
  <si>
    <t>5126-5265</t>
  </si>
  <si>
    <t>5126-5271</t>
  </si>
  <si>
    <t>5126-5275</t>
  </si>
  <si>
    <t>5126-5301</t>
  </si>
  <si>
    <t>5126-5303</t>
  </si>
  <si>
    <t>5126-5305</t>
  </si>
  <si>
    <t>5126-5307</t>
  </si>
  <si>
    <t>5126-5308</t>
  </si>
  <si>
    <t>5126-5309</t>
  </si>
  <si>
    <t>5126-5311</t>
  </si>
  <si>
    <t>5126-5313</t>
  </si>
  <si>
    <t>5126-5315</t>
  </si>
  <si>
    <t>5126-5317</t>
  </si>
  <si>
    <t>5126-5321</t>
  </si>
  <si>
    <t>5126-5322</t>
  </si>
  <si>
    <t>5126-5381</t>
  </si>
  <si>
    <t>5126-5427</t>
  </si>
  <si>
    <t>5126-5429</t>
  </si>
  <si>
    <t>5126-5431</t>
  </si>
  <si>
    <t>5126-5439</t>
  </si>
  <si>
    <t>5126-5445</t>
  </si>
  <si>
    <t>5126-5453</t>
  </si>
  <si>
    <t>PARKS</t>
  </si>
  <si>
    <t>5126-5453.REF</t>
  </si>
  <si>
    <t>PARKS MAINTENANCE REFUNDED</t>
  </si>
  <si>
    <t>5126-5455</t>
  </si>
  <si>
    <t>5126-5461</t>
  </si>
  <si>
    <t>5126-5463</t>
  </si>
  <si>
    <t>5126-5465</t>
  </si>
  <si>
    <t>5126-5467</t>
  </si>
  <si>
    <t>5126-5469</t>
  </si>
  <si>
    <t>5126-5471</t>
  </si>
  <si>
    <t>5126-5477</t>
  </si>
  <si>
    <t>5126-5483</t>
  </si>
  <si>
    <t>WATER WELLS</t>
  </si>
  <si>
    <t>5126-5531</t>
  </si>
  <si>
    <t>5126-5553</t>
  </si>
  <si>
    <t>5126-5553.REF</t>
  </si>
  <si>
    <t>PARKS CAPITAL ITEMS REFUNDED</t>
  </si>
  <si>
    <t>5126-5555</t>
  </si>
  <si>
    <t>5126-5561</t>
  </si>
  <si>
    <t>5126-5563</t>
  </si>
  <si>
    <t>5126-5565</t>
  </si>
  <si>
    <t>5126-5565.REF</t>
  </si>
  <si>
    <t>5126-5567</t>
  </si>
  <si>
    <t>5126-5569</t>
  </si>
  <si>
    <t>5126-5577</t>
  </si>
  <si>
    <t>5128-5101</t>
  </si>
  <si>
    <t>5128-5101.101</t>
  </si>
  <si>
    <t>5128-5101.105</t>
  </si>
  <si>
    <t>5128-5101.107</t>
  </si>
  <si>
    <t>5128-5101.129</t>
  </si>
  <si>
    <t>5128-5101.131</t>
  </si>
  <si>
    <t>5128-5103</t>
  </si>
  <si>
    <t>5128-5105</t>
  </si>
  <si>
    <t>5128-5109</t>
  </si>
  <si>
    <t>5128-5111</t>
  </si>
  <si>
    <t>5128-5113</t>
  </si>
  <si>
    <t>5128-5180</t>
  </si>
  <si>
    <t>5128-5190</t>
  </si>
  <si>
    <t>5128-5201</t>
  </si>
  <si>
    <t>5128-5211</t>
  </si>
  <si>
    <t>5128-5213</t>
  </si>
  <si>
    <t>5128-5215</t>
  </si>
  <si>
    <t>5128-5217</t>
  </si>
  <si>
    <t>5128-5219</t>
  </si>
  <si>
    <t>5128-5230</t>
  </si>
  <si>
    <t>5128-5241</t>
  </si>
  <si>
    <t>5128-5241.REF</t>
  </si>
  <si>
    <t>5128-5251</t>
  </si>
  <si>
    <t>5128-5255</t>
  </si>
  <si>
    <t>5128-5271</t>
  </si>
  <si>
    <t>5128-5301</t>
  </si>
  <si>
    <t>5128-5305</t>
  </si>
  <si>
    <t>5128-5305.REF</t>
  </si>
  <si>
    <t>5128-5307</t>
  </si>
  <si>
    <t>5128-5309</t>
  </si>
  <si>
    <t>5128-5311</t>
  </si>
  <si>
    <t>5128-5315</t>
  </si>
  <si>
    <t>5128-5317</t>
  </si>
  <si>
    <t>5128-5319</t>
  </si>
  <si>
    <t>5128-5321</t>
  </si>
  <si>
    <t>5128-5322</t>
  </si>
  <si>
    <t>5128-5381</t>
  </si>
  <si>
    <t>5128-5455</t>
  </si>
  <si>
    <t>5128-5461</t>
  </si>
  <si>
    <t>5128-5463</t>
  </si>
  <si>
    <t>5128-5465</t>
  </si>
  <si>
    <t>5128-5471</t>
  </si>
  <si>
    <t>5128-5477</t>
  </si>
  <si>
    <t>5128-5555</t>
  </si>
  <si>
    <t>5128-5561</t>
  </si>
  <si>
    <t>5128-5563</t>
  </si>
  <si>
    <t>5128-5565</t>
  </si>
  <si>
    <t>5128-5577</t>
  </si>
  <si>
    <t>5129-5101</t>
  </si>
  <si>
    <t>5129-5101.101</t>
  </si>
  <si>
    <t>5129-5101.105</t>
  </si>
  <si>
    <t>5129-5101.107</t>
  </si>
  <si>
    <t>5129-5101.129</t>
  </si>
  <si>
    <t>5129-5101.131</t>
  </si>
  <si>
    <t>5129-5103</t>
  </si>
  <si>
    <t>5129-5105</t>
  </si>
  <si>
    <t>5129-5109</t>
  </si>
  <si>
    <t>5129-5111</t>
  </si>
  <si>
    <t>5129-5113</t>
  </si>
  <si>
    <t>5129-5180</t>
  </si>
  <si>
    <t>5129-5190</t>
  </si>
  <si>
    <t>5129-5201</t>
  </si>
  <si>
    <t>5129-5211</t>
  </si>
  <si>
    <t>5129-5213</t>
  </si>
  <si>
    <t>5129-5215</t>
  </si>
  <si>
    <t>5129-5217</t>
  </si>
  <si>
    <t>5129-5219</t>
  </si>
  <si>
    <t>5129-5230</t>
  </si>
  <si>
    <t>5129-5241</t>
  </si>
  <si>
    <t>5129-5251</t>
  </si>
  <si>
    <t>5129-5271</t>
  </si>
  <si>
    <t>5129-5301</t>
  </si>
  <si>
    <t>5129-5303</t>
  </si>
  <si>
    <t>5129-5305</t>
  </si>
  <si>
    <t>5129-5307</t>
  </si>
  <si>
    <t>5129-5309</t>
  </si>
  <si>
    <t>5129-5311</t>
  </si>
  <si>
    <t>5129-5315</t>
  </si>
  <si>
    <t>5129-5317</t>
  </si>
  <si>
    <t>5129-5317.REF</t>
  </si>
  <si>
    <t>5129-5319</t>
  </si>
  <si>
    <t>5129-5321</t>
  </si>
  <si>
    <t>5129-5322</t>
  </si>
  <si>
    <t>5129-5381</t>
  </si>
  <si>
    <t>5129-5455</t>
  </si>
  <si>
    <t>5129-5461</t>
  </si>
  <si>
    <t>5129-5463</t>
  </si>
  <si>
    <t>5129-5465</t>
  </si>
  <si>
    <t>5129-5471</t>
  </si>
  <si>
    <t>5129-5477</t>
  </si>
  <si>
    <t>5129-5555</t>
  </si>
  <si>
    <t>5129-5561</t>
  </si>
  <si>
    <t>5129-5563</t>
  </si>
  <si>
    <t>5129-5565</t>
  </si>
  <si>
    <t>5129-5577</t>
  </si>
  <si>
    <t>5130-5101</t>
  </si>
  <si>
    <t>5130-5101.101</t>
  </si>
  <si>
    <t>5130-5101.105</t>
  </si>
  <si>
    <t>5130-5101.107</t>
  </si>
  <si>
    <t>5130-5101.129</t>
  </si>
  <si>
    <t>5130-5101.131</t>
  </si>
  <si>
    <t>5130-5103</t>
  </si>
  <si>
    <t>5130-5105</t>
  </si>
  <si>
    <t>5130-5109</t>
  </si>
  <si>
    <t>5130-5111</t>
  </si>
  <si>
    <t>5130-5113</t>
  </si>
  <si>
    <t>5130-5180</t>
  </si>
  <si>
    <t>5130-5190</t>
  </si>
  <si>
    <t>5130-5201</t>
  </si>
  <si>
    <t>5130-5211</t>
  </si>
  <si>
    <t>5130-5213</t>
  </si>
  <si>
    <t>5130-5215</t>
  </si>
  <si>
    <t>5130-5217</t>
  </si>
  <si>
    <t>5130-5219</t>
  </si>
  <si>
    <t>5130-5230</t>
  </si>
  <si>
    <t>5130-5231</t>
  </si>
  <si>
    <t>5130-5235</t>
  </si>
  <si>
    <t>5130-5241</t>
  </si>
  <si>
    <t>5130-5241.REF</t>
  </si>
  <si>
    <t>5130-5245</t>
  </si>
  <si>
    <t>5130-5251</t>
  </si>
  <si>
    <t>5130-5255</t>
  </si>
  <si>
    <t>5130-5271</t>
  </si>
  <si>
    <t>5130-5301</t>
  </si>
  <si>
    <t>5130-5303</t>
  </si>
  <si>
    <t>5130-5305</t>
  </si>
  <si>
    <t>5130-5309</t>
  </si>
  <si>
    <t>5130-5311</t>
  </si>
  <si>
    <t>5130-5313</t>
  </si>
  <si>
    <t>5130-5315</t>
  </si>
  <si>
    <t>5130-5317</t>
  </si>
  <si>
    <t>5130-5317.REF</t>
  </si>
  <si>
    <t>5130-5321</t>
  </si>
  <si>
    <t>5130-5322</t>
  </si>
  <si>
    <t>5130-5381</t>
  </si>
  <si>
    <t>5130-5427</t>
  </si>
  <si>
    <t>5130-5455</t>
  </si>
  <si>
    <t>5130-5461</t>
  </si>
  <si>
    <t>5130-5463</t>
  </si>
  <si>
    <t>5130-5465</t>
  </si>
  <si>
    <t>5130-5467</t>
  </si>
  <si>
    <t>5130-5469</t>
  </si>
  <si>
    <t>5130-5471</t>
  </si>
  <si>
    <t>5130-5477</t>
  </si>
  <si>
    <t>5130-5555</t>
  </si>
  <si>
    <t>5130-5561</t>
  </si>
  <si>
    <t>5130-5563</t>
  </si>
  <si>
    <t>5130-5565</t>
  </si>
  <si>
    <t>5130-5565.REF</t>
  </si>
  <si>
    <t>5130-5567</t>
  </si>
  <si>
    <t>5130-5569</t>
  </si>
  <si>
    <t>5130-5577</t>
  </si>
  <si>
    <t>5131-5101</t>
  </si>
  <si>
    <t>5131-5101.101</t>
  </si>
  <si>
    <t>5131-5101.105</t>
  </si>
  <si>
    <t>5131-5101.107</t>
  </si>
  <si>
    <t>5131-5101.129</t>
  </si>
  <si>
    <t>5131-5101.131</t>
  </si>
  <si>
    <t>5131-5103</t>
  </si>
  <si>
    <t>5131-5105</t>
  </si>
  <si>
    <t>5131-5109</t>
  </si>
  <si>
    <t>5131-5111</t>
  </si>
  <si>
    <t>5131-5113</t>
  </si>
  <si>
    <t>5131-5180</t>
  </si>
  <si>
    <t>5131-5190</t>
  </si>
  <si>
    <t>5131-5201</t>
  </si>
  <si>
    <t>5131-5211</t>
  </si>
  <si>
    <t>5131-5213</t>
  </si>
  <si>
    <t>5131-5215</t>
  </si>
  <si>
    <t>5131-5217</t>
  </si>
  <si>
    <t>5131-5219</t>
  </si>
  <si>
    <t>5131-5230</t>
  </si>
  <si>
    <t>5131-5231</t>
  </si>
  <si>
    <t>5131-5235</t>
  </si>
  <si>
    <t>5131-5241</t>
  </si>
  <si>
    <t>5131-5241.REF</t>
  </si>
  <si>
    <t>5131-5245</t>
  </si>
  <si>
    <t>5131-5251</t>
  </si>
  <si>
    <t>5131-5255</t>
  </si>
  <si>
    <t>5131-5261</t>
  </si>
  <si>
    <t>5131-5265</t>
  </si>
  <si>
    <t>5131-5271</t>
  </si>
  <si>
    <t>5131-5275</t>
  </si>
  <si>
    <t>5131-5301</t>
  </si>
  <si>
    <t>5131-5303</t>
  </si>
  <si>
    <t>5131-5305</t>
  </si>
  <si>
    <t>5131-5307</t>
  </si>
  <si>
    <t>5131-5308</t>
  </si>
  <si>
    <t>5131-5309</t>
  </si>
  <si>
    <t>5131-5311</t>
  </si>
  <si>
    <t>5131-5313</t>
  </si>
  <si>
    <t>5131-5315</t>
  </si>
  <si>
    <t>5131-5317</t>
  </si>
  <si>
    <t>5131-5319</t>
  </si>
  <si>
    <t>5131-5321</t>
  </si>
  <si>
    <t>5131-5322</t>
  </si>
  <si>
    <t>5131-5381</t>
  </si>
  <si>
    <t>5131-5431</t>
  </si>
  <si>
    <t>5131-5455</t>
  </si>
  <si>
    <t>5131-5461</t>
  </si>
  <si>
    <t>5131-5463</t>
  </si>
  <si>
    <t>5131-5465</t>
  </si>
  <si>
    <t>5131-5467</t>
  </si>
  <si>
    <t>5131-5469</t>
  </si>
  <si>
    <t>5131-5471</t>
  </si>
  <si>
    <t>5131-5477</t>
  </si>
  <si>
    <t>5131-5555</t>
  </si>
  <si>
    <t>5131-5561</t>
  </si>
  <si>
    <t>5131-5563</t>
  </si>
  <si>
    <t>5131-5565</t>
  </si>
  <si>
    <t>5131-5565.REF</t>
  </si>
  <si>
    <t>5131-5567</t>
  </si>
  <si>
    <t>5131-5569</t>
  </si>
  <si>
    <t>5131-5577</t>
  </si>
  <si>
    <t>5149-5190</t>
  </si>
  <si>
    <t>RESERVED FOR MERIT, GF</t>
  </si>
  <si>
    <t>5149-5195</t>
  </si>
  <si>
    <t>RESERVED FOR GRANT MATCHES</t>
  </si>
  <si>
    <t>5149-5230</t>
  </si>
  <si>
    <t>5149-5305</t>
  </si>
  <si>
    <t>5149-5309</t>
  </si>
  <si>
    <t>5149-5309.LIB</t>
  </si>
  <si>
    <t>UTILITY SERVICE-LIBRARY REIMB</t>
  </si>
  <si>
    <t>5149-5325.103</t>
  </si>
  <si>
    <t>PROPERTY &amp; CASUALTY INSURANCE</t>
  </si>
  <si>
    <t>5149-5355.109</t>
  </si>
  <si>
    <t>50% LIBRARY</t>
  </si>
  <si>
    <t>5149-5355.111</t>
  </si>
  <si>
    <t>HUMANE SOCIETY</t>
  </si>
  <si>
    <t>5149-5355.113</t>
  </si>
  <si>
    <t>FIREMAN RELIEF FUND</t>
  </si>
  <si>
    <t>5149-5355.115</t>
  </si>
  <si>
    <t>50% CIVIL DEFENSE</t>
  </si>
  <si>
    <t>5149-5355.117</t>
  </si>
  <si>
    <t>USSV(SAMARITAN SERVICES)</t>
  </si>
  <si>
    <t>5149-5355.119</t>
  </si>
  <si>
    <t>LIONS CLUB</t>
  </si>
  <si>
    <t>5149-5355.121</t>
  </si>
  <si>
    <t>BOYS AND GIRLS CLUB</t>
  </si>
  <si>
    <t>5149-5355.127</t>
  </si>
  <si>
    <t>HOUSING AUTHORITY</t>
  </si>
  <si>
    <t>5149-5355.191</t>
  </si>
  <si>
    <t>COMPUTER CONSULTANT</t>
  </si>
  <si>
    <t>5149-5355.193</t>
  </si>
  <si>
    <t>JULY 4TH FIREWORKS</t>
  </si>
  <si>
    <t>5149-5355.199</t>
  </si>
  <si>
    <t>NEW VISIONS ECONOMIC DEV CORP</t>
  </si>
  <si>
    <t>5149-5355.500</t>
  </si>
  <si>
    <t>CAD TAX APPRAISAL</t>
  </si>
  <si>
    <t>5149-5355.510</t>
  </si>
  <si>
    <t>COUNTY TAX COLLECTION</t>
  </si>
  <si>
    <t>5149-5381</t>
  </si>
  <si>
    <t>5149-5389</t>
  </si>
  <si>
    <t>CONTINGENCY</t>
  </si>
  <si>
    <t>5149-5465</t>
  </si>
  <si>
    <t>5160-5101</t>
  </si>
  <si>
    <t>5160-5101.101</t>
  </si>
  <si>
    <t>5160-5101.107</t>
  </si>
  <si>
    <t>5160-5101.129</t>
  </si>
  <si>
    <t>5160-5101.131</t>
  </si>
  <si>
    <t>5160-5201</t>
  </si>
  <si>
    <t>5160-5211</t>
  </si>
  <si>
    <t>5160-5213</t>
  </si>
  <si>
    <t>5160-5215</t>
  </si>
  <si>
    <t>5160-5219</t>
  </si>
  <si>
    <t>5160-5251</t>
  </si>
  <si>
    <t>5160-5301</t>
  </si>
  <si>
    <t>5160-5305</t>
  </si>
  <si>
    <t>5160-5307</t>
  </si>
  <si>
    <t>5160-5315</t>
  </si>
  <si>
    <t>5160-5317</t>
  </si>
  <si>
    <t>5160-5355</t>
  </si>
  <si>
    <t>FACADE GRANTS</t>
  </si>
  <si>
    <t>5160-5381</t>
  </si>
  <si>
    <t>5160-5427</t>
  </si>
  <si>
    <t>250-UTILITY/COLLECTIONS</t>
  </si>
  <si>
    <t>251-WATER/WASTEWATER COLL</t>
  </si>
  <si>
    <t>252-WASTEWATER TREATMENT</t>
  </si>
  <si>
    <t>253-LANDFILL/SANITATION</t>
  </si>
  <si>
    <t>259-SPECIAL ITEMS</t>
  </si>
  <si>
    <t>260-DEBT SERVICE</t>
  </si>
  <si>
    <t>265-METER DEPOSITS</t>
  </si>
  <si>
    <t>DELINQUENT CONTRACTS</t>
  </si>
  <si>
    <t>DEBT SERVICE DELINQUENT TAXES</t>
  </si>
  <si>
    <t>WATER</t>
  </si>
  <si>
    <t>SEWER</t>
  </si>
  <si>
    <t>SANITATION</t>
  </si>
  <si>
    <t>TAPPING FEES</t>
  </si>
  <si>
    <t>LATE PAYMENT PENALTY</t>
  </si>
  <si>
    <t>LANDFILL REVENUE</t>
  </si>
  <si>
    <t>GARBAGE ADMIN REVENUE</t>
  </si>
  <si>
    <t>TRANSFER FROM ENTERPRISE-94 CO</t>
  </si>
  <si>
    <t>INTEREST INCOME-ENTERPRISE</t>
  </si>
  <si>
    <t>INTEREST INCOME-CUSTOMER DEPOS</t>
  </si>
  <si>
    <t>INTEREST INCOME-94 CO</t>
  </si>
  <si>
    <t>METER DEPOSIT FEES</t>
  </si>
  <si>
    <t>CASH COLLECTIONS-OVER/SHORT</t>
  </si>
  <si>
    <t>REIMBURSED SUPPLES</t>
  </si>
  <si>
    <t>5250-5101</t>
  </si>
  <si>
    <t>5250-5101.101</t>
  </si>
  <si>
    <t>5250-5101.105</t>
  </si>
  <si>
    <t>5250-5101.107</t>
  </si>
  <si>
    <t>5250-5101.129</t>
  </si>
  <si>
    <t>5250-5101.131</t>
  </si>
  <si>
    <t>5250-5101.999</t>
  </si>
  <si>
    <t>5250-5103</t>
  </si>
  <si>
    <t>5250-5105</t>
  </si>
  <si>
    <t>5250-5109</t>
  </si>
  <si>
    <t>5250-5111</t>
  </si>
  <si>
    <t>5250-5113</t>
  </si>
  <si>
    <t>5250-5180</t>
  </si>
  <si>
    <t>5250-5190</t>
  </si>
  <si>
    <t>5250-5201</t>
  </si>
  <si>
    <t>5250-5211</t>
  </si>
  <si>
    <t>5250-5213</t>
  </si>
  <si>
    <t>5250-5215</t>
  </si>
  <si>
    <t>5250-5217</t>
  </si>
  <si>
    <t>5250-5219</t>
  </si>
  <si>
    <t>5250-5230</t>
  </si>
  <si>
    <t>5250-5241</t>
  </si>
  <si>
    <t>5250-5241.REF</t>
  </si>
  <si>
    <t>5250-5251</t>
  </si>
  <si>
    <t>5250-5255</t>
  </si>
  <si>
    <t>5250-5271</t>
  </si>
  <si>
    <t>5250-5301</t>
  </si>
  <si>
    <t>5250-5303</t>
  </si>
  <si>
    <t>5250-5305</t>
  </si>
  <si>
    <t>5250-5307</t>
  </si>
  <si>
    <t>5250-5309</t>
  </si>
  <si>
    <t>5250-5311</t>
  </si>
  <si>
    <t>5250-5313</t>
  </si>
  <si>
    <t>5250-5315</t>
  </si>
  <si>
    <t>5250-5317</t>
  </si>
  <si>
    <t>5250-5319</t>
  </si>
  <si>
    <t>5250-5321</t>
  </si>
  <si>
    <t>5250-5322</t>
  </si>
  <si>
    <t>5250-5381</t>
  </si>
  <si>
    <t>5250-5431</t>
  </si>
  <si>
    <t>5250-5455</t>
  </si>
  <si>
    <t>5250-5461</t>
  </si>
  <si>
    <t>5250-5463</t>
  </si>
  <si>
    <t>5250-5465</t>
  </si>
  <si>
    <t>5250-5471</t>
  </si>
  <si>
    <t>5250-5477</t>
  </si>
  <si>
    <t>5250-5555</t>
  </si>
  <si>
    <t>5250-5561</t>
  </si>
  <si>
    <t>5250-5563</t>
  </si>
  <si>
    <t>5250-5565</t>
  </si>
  <si>
    <t>5250-5577</t>
  </si>
  <si>
    <t>5251-5101</t>
  </si>
  <si>
    <t>5251-5101.101</t>
  </si>
  <si>
    <t>5251-5101.105</t>
  </si>
  <si>
    <t>5251-5101.107</t>
  </si>
  <si>
    <t>5251-5101.129</t>
  </si>
  <si>
    <t>5251-5101.131</t>
  </si>
  <si>
    <t>5251-5101.999</t>
  </si>
  <si>
    <t>5251-5101.REF</t>
  </si>
  <si>
    <t>5251-5103</t>
  </si>
  <si>
    <t>5251-5103.REF</t>
  </si>
  <si>
    <t>5251-5105</t>
  </si>
  <si>
    <t>5251-5109</t>
  </si>
  <si>
    <t>5251-5111</t>
  </si>
  <si>
    <t>5251-5113</t>
  </si>
  <si>
    <t>5251-5180</t>
  </si>
  <si>
    <t>5251-5190</t>
  </si>
  <si>
    <t>5251-5201</t>
  </si>
  <si>
    <t>5251-5211</t>
  </si>
  <si>
    <t>5251-5213</t>
  </si>
  <si>
    <t>5251-5215</t>
  </si>
  <si>
    <t>5251-5217</t>
  </si>
  <si>
    <t>5251-5219</t>
  </si>
  <si>
    <t>5251-5230</t>
  </si>
  <si>
    <t>5251-5231</t>
  </si>
  <si>
    <t>5251-5235</t>
  </si>
  <si>
    <t>5251-5241</t>
  </si>
  <si>
    <t>5251-5241.REF</t>
  </si>
  <si>
    <t>5251-5245</t>
  </si>
  <si>
    <t>5251-5251</t>
  </si>
  <si>
    <t>5251-5255</t>
  </si>
  <si>
    <t>5251-5261</t>
  </si>
  <si>
    <t>5251-5265</t>
  </si>
  <si>
    <t>5251-5271</t>
  </si>
  <si>
    <t>5251-5275</t>
  </si>
  <si>
    <t>5251-5301</t>
  </si>
  <si>
    <t>5251-5303</t>
  </si>
  <si>
    <t>5251-5305</t>
  </si>
  <si>
    <t>5251-5307</t>
  </si>
  <si>
    <t>5251-5308</t>
  </si>
  <si>
    <t>5251-5309</t>
  </si>
  <si>
    <t>5251-5311</t>
  </si>
  <si>
    <t>5251-5313</t>
  </si>
  <si>
    <t>5251-5315</t>
  </si>
  <si>
    <t>5251-5317</t>
  </si>
  <si>
    <t>5251-5319</t>
  </si>
  <si>
    <t>5251-5321</t>
  </si>
  <si>
    <t>5251-5322</t>
  </si>
  <si>
    <t>5251-5371.101</t>
  </si>
  <si>
    <t>ADMINISTRATIVE CHARGE</t>
  </si>
  <si>
    <t>5251-5371.103</t>
  </si>
  <si>
    <t>IN-LIEU SALES TAX</t>
  </si>
  <si>
    <t>5251-5371.105</t>
  </si>
  <si>
    <t>IN-LIEU FRANCHISE TAX</t>
  </si>
  <si>
    <t>5251-5371.107</t>
  </si>
  <si>
    <t>5251-5381</t>
  </si>
  <si>
    <t>5251-5427</t>
  </si>
  <si>
    <t>5251-5429</t>
  </si>
  <si>
    <t>5251-5431</t>
  </si>
  <si>
    <t>5251-5435</t>
  </si>
  <si>
    <t>NITRATE TREATMENT PLANT</t>
  </si>
  <si>
    <t>5251-5437</t>
  </si>
  <si>
    <t>5251-5439</t>
  </si>
  <si>
    <t>IMPROVEMENTS-MAINTENENCE</t>
  </si>
  <si>
    <t>5251-5441</t>
  </si>
  <si>
    <t>5251-5443</t>
  </si>
  <si>
    <t>5251-5455</t>
  </si>
  <si>
    <t>5251-5461</t>
  </si>
  <si>
    <t>5251-5463</t>
  </si>
  <si>
    <t>5251-5465</t>
  </si>
  <si>
    <t>5251-5465.INS</t>
  </si>
  <si>
    <t>INSTMT REPAIRS,INSURANCE PMT</t>
  </si>
  <si>
    <t>5251-5467</t>
  </si>
  <si>
    <t>5251-5469</t>
  </si>
  <si>
    <t>5251-5471</t>
  </si>
  <si>
    <t>5251-5473</t>
  </si>
  <si>
    <t>5251-5475</t>
  </si>
  <si>
    <t>METERS AND FITTINGS</t>
  </si>
  <si>
    <t>5251-5475.REF</t>
  </si>
  <si>
    <t>METERS &amp; FITTINGS REFUNDED</t>
  </si>
  <si>
    <t>5251-5477</t>
  </si>
  <si>
    <t>5251-5479</t>
  </si>
  <si>
    <t>5251-5481</t>
  </si>
  <si>
    <t>WATER WORKS MAINS</t>
  </si>
  <si>
    <t>5251-5483</t>
  </si>
  <si>
    <t>5251-5485</t>
  </si>
  <si>
    <t>BOOSTER STATIONS</t>
  </si>
  <si>
    <t>5251-5505</t>
  </si>
  <si>
    <t>5251-5529</t>
  </si>
  <si>
    <t>5251-5531</t>
  </si>
  <si>
    <t>5251-5535</t>
  </si>
  <si>
    <t>NITRATE PLANT</t>
  </si>
  <si>
    <t>5251-5539</t>
  </si>
  <si>
    <t>IMPROVEMENTS</t>
  </si>
  <si>
    <t>5251-5543</t>
  </si>
  <si>
    <t>5251-5555</t>
  </si>
  <si>
    <t>5251-5561</t>
  </si>
  <si>
    <t>5251-5563</t>
  </si>
  <si>
    <t>5251-5565</t>
  </si>
  <si>
    <t>5251-5565.REF</t>
  </si>
  <si>
    <t>5251-5567</t>
  </si>
  <si>
    <t>5251-5569</t>
  </si>
  <si>
    <t>5251-5573</t>
  </si>
  <si>
    <t>5251-5575</t>
  </si>
  <si>
    <t>5251-5577</t>
  </si>
  <si>
    <t>5251-5579</t>
  </si>
  <si>
    <t>5251-5581</t>
  </si>
  <si>
    <t>5251-5583</t>
  </si>
  <si>
    <t>5251-5585</t>
  </si>
  <si>
    <t>5252-5101</t>
  </si>
  <si>
    <t>5252-5101.101</t>
  </si>
  <si>
    <t>5252-5101.105</t>
  </si>
  <si>
    <t>5252-5101.107</t>
  </si>
  <si>
    <t>5252-5101.129</t>
  </si>
  <si>
    <t>5252-5101.131</t>
  </si>
  <si>
    <t>5252-5101.999</t>
  </si>
  <si>
    <t>5252-5103</t>
  </si>
  <si>
    <t>5252-5105</t>
  </si>
  <si>
    <t>5252-5109</t>
  </si>
  <si>
    <t>5252-5111</t>
  </si>
  <si>
    <t>5252-5113</t>
  </si>
  <si>
    <t>5252-5180</t>
  </si>
  <si>
    <t>5252-5190</t>
  </si>
  <si>
    <t>5252-5201</t>
  </si>
  <si>
    <t>5252-5211</t>
  </si>
  <si>
    <t>5252-5213</t>
  </si>
  <si>
    <t>5252-5215</t>
  </si>
  <si>
    <t>5252-5217</t>
  </si>
  <si>
    <t>5252-5219</t>
  </si>
  <si>
    <t>5252-5230</t>
  </si>
  <si>
    <t>5252-5231</t>
  </si>
  <si>
    <t>5252-5235</t>
  </si>
  <si>
    <t>5252-5241</t>
  </si>
  <si>
    <t>5252-5241.REF</t>
  </si>
  <si>
    <t>5252-5245</t>
  </si>
  <si>
    <t>5252-5251</t>
  </si>
  <si>
    <t>5252-5255</t>
  </si>
  <si>
    <t>5252-5261</t>
  </si>
  <si>
    <t>5252-5265</t>
  </si>
  <si>
    <t>5252-5271</t>
  </si>
  <si>
    <t>5252-5275</t>
  </si>
  <si>
    <t>5252-5279</t>
  </si>
  <si>
    <t>LAB SUPPLIES</t>
  </si>
  <si>
    <t>5252-5301</t>
  </si>
  <si>
    <t>5252-5303</t>
  </si>
  <si>
    <t>5252-5305</t>
  </si>
  <si>
    <t>5252-5307</t>
  </si>
  <si>
    <t>5252-5308</t>
  </si>
  <si>
    <t>5252-5309</t>
  </si>
  <si>
    <t>5252-5309.REF</t>
  </si>
  <si>
    <t>5252-5311</t>
  </si>
  <si>
    <t>5252-5313</t>
  </si>
  <si>
    <t>5252-5315</t>
  </si>
  <si>
    <t>5252-5317</t>
  </si>
  <si>
    <t>5252-5319</t>
  </si>
  <si>
    <t>5252-5321</t>
  </si>
  <si>
    <t>5252-5322</t>
  </si>
  <si>
    <t>5252-5371.101</t>
  </si>
  <si>
    <t>5252-5371.103</t>
  </si>
  <si>
    <t>5252-5371.105</t>
  </si>
  <si>
    <t>5252-5371.107</t>
  </si>
  <si>
    <t>5252-5381</t>
  </si>
  <si>
    <t>5252-5427</t>
  </si>
  <si>
    <t>5252-5429</t>
  </si>
  <si>
    <t>5252-5431</t>
  </si>
  <si>
    <t>5252-5435</t>
  </si>
  <si>
    <t>SEWAGE TREATMENT PLANT</t>
  </si>
  <si>
    <t>5252-5437</t>
  </si>
  <si>
    <t>5252-5441</t>
  </si>
  <si>
    <t>5252-5443</t>
  </si>
  <si>
    <t>5252-5455</t>
  </si>
  <si>
    <t>5252-5461</t>
  </si>
  <si>
    <t>5252-5463</t>
  </si>
  <si>
    <t>5252-5465</t>
  </si>
  <si>
    <t>5252-5467</t>
  </si>
  <si>
    <t>5252-5469</t>
  </si>
  <si>
    <t>5252-5471</t>
  </si>
  <si>
    <t>5252-5473</t>
  </si>
  <si>
    <t>5252-5477</t>
  </si>
  <si>
    <t>5252-5479</t>
  </si>
  <si>
    <t>5252-5481</t>
  </si>
  <si>
    <t>5252-5483</t>
  </si>
  <si>
    <t>5252-5485</t>
  </si>
  <si>
    <t>LIFT STATIONS</t>
  </si>
  <si>
    <t>5252-5535</t>
  </si>
  <si>
    <t>5252-5555</t>
  </si>
  <si>
    <t>5252-5561</t>
  </si>
  <si>
    <t>5252-5563</t>
  </si>
  <si>
    <t>5252-5565</t>
  </si>
  <si>
    <t>5252-5567</t>
  </si>
  <si>
    <t>5252-5569</t>
  </si>
  <si>
    <t>5252-5573</t>
  </si>
  <si>
    <t>5252-5577</t>
  </si>
  <si>
    <t>5252-5579</t>
  </si>
  <si>
    <t>5252-5583</t>
  </si>
  <si>
    <t>5253-5101</t>
  </si>
  <si>
    <t>5253-5101.101</t>
  </si>
  <si>
    <t>5253-5101.105</t>
  </si>
  <si>
    <t>5253-5101.107</t>
  </si>
  <si>
    <t>5253-5101.129</t>
  </si>
  <si>
    <t>5253-5101.131</t>
  </si>
  <si>
    <t>5253-5103</t>
  </si>
  <si>
    <t>5253-5105</t>
  </si>
  <si>
    <t>5253-5109</t>
  </si>
  <si>
    <t>5253-5111</t>
  </si>
  <si>
    <t>5253-5113</t>
  </si>
  <si>
    <t>5253-5180</t>
  </si>
  <si>
    <t>5253-5190</t>
  </si>
  <si>
    <t>5253-5201</t>
  </si>
  <si>
    <t>5253-5211</t>
  </si>
  <si>
    <t>5253-5213</t>
  </si>
  <si>
    <t>5253-5215</t>
  </si>
  <si>
    <t>5253-5217</t>
  </si>
  <si>
    <t>5253-5219</t>
  </si>
  <si>
    <t>5253-5230</t>
  </si>
  <si>
    <t>5253-5231</t>
  </si>
  <si>
    <t>5253-5235</t>
  </si>
  <si>
    <t>5253-5241</t>
  </si>
  <si>
    <t>5253-5241.REF</t>
  </si>
  <si>
    <t>5253-5245</t>
  </si>
  <si>
    <t>5253-5251</t>
  </si>
  <si>
    <t>5253-5255</t>
  </si>
  <si>
    <t>5253-5261</t>
  </si>
  <si>
    <t>5253-5265</t>
  </si>
  <si>
    <t>5253-5271</t>
  </si>
  <si>
    <t>5253-5275</t>
  </si>
  <si>
    <t>5253-5301</t>
  </si>
  <si>
    <t>5253-5303</t>
  </si>
  <si>
    <t>5253-5305</t>
  </si>
  <si>
    <t>5253-5307</t>
  </si>
  <si>
    <t>5253-5308</t>
  </si>
  <si>
    <t>5253-5309</t>
  </si>
  <si>
    <t>5253-5311</t>
  </si>
  <si>
    <t>5253-5313</t>
  </si>
  <si>
    <t>5253-5315</t>
  </si>
  <si>
    <t>5253-5317</t>
  </si>
  <si>
    <t>5253-5319</t>
  </si>
  <si>
    <t>5253-5321</t>
  </si>
  <si>
    <t>5253-5322</t>
  </si>
  <si>
    <t>5253-5371.101</t>
  </si>
  <si>
    <t>5253-5371.103</t>
  </si>
  <si>
    <t>5253-5371.105</t>
  </si>
  <si>
    <t>5253-5371.107</t>
  </si>
  <si>
    <t>5253-5381</t>
  </si>
  <si>
    <t>5253-5427</t>
  </si>
  <si>
    <t>5253-5429</t>
  </si>
  <si>
    <t>5253-5431</t>
  </si>
  <si>
    <t>5253-5437</t>
  </si>
  <si>
    <t>5253-5445</t>
  </si>
  <si>
    <t>5253-5447</t>
  </si>
  <si>
    <t>DUMP GROUNDS</t>
  </si>
  <si>
    <t>5253-5455</t>
  </si>
  <si>
    <t>5253-5461</t>
  </si>
  <si>
    <t>5253-5463</t>
  </si>
  <si>
    <t>5253-5465</t>
  </si>
  <si>
    <t>5253-5467</t>
  </si>
  <si>
    <t>5253-5469</t>
  </si>
  <si>
    <t>5253-5471</t>
  </si>
  <si>
    <t>5253-5477</t>
  </si>
  <si>
    <t>5253-5547</t>
  </si>
  <si>
    <t>5253-5555</t>
  </si>
  <si>
    <t>5253-5561</t>
  </si>
  <si>
    <t>5253-5563</t>
  </si>
  <si>
    <t>5253-5565</t>
  </si>
  <si>
    <t>5253-5567</t>
  </si>
  <si>
    <t>5253-5569</t>
  </si>
  <si>
    <t>5253-5577</t>
  </si>
  <si>
    <t>5259-5180</t>
  </si>
  <si>
    <t>5259-5190</t>
  </si>
  <si>
    <t>RESERVED FOR MERIT, ENTERPRISE</t>
  </si>
  <si>
    <t>5259-5230</t>
  </si>
  <si>
    <t>5259-5325.103</t>
  </si>
  <si>
    <t>5259-5381</t>
  </si>
  <si>
    <t>5259-5389</t>
  </si>
  <si>
    <t>5259-5465</t>
  </si>
  <si>
    <t>5259-5710.10</t>
  </si>
  <si>
    <t>TRANSFER TO GENERAL</t>
  </si>
  <si>
    <t>5260-5230</t>
  </si>
  <si>
    <t>INTEREST - 2000 CO</t>
  </si>
  <si>
    <t>PRINCIPAL - 2000 CO</t>
  </si>
  <si>
    <t>SCHMOKER LEASE RENTAL</t>
  </si>
  <si>
    <t>5260-5710</t>
  </si>
  <si>
    <t>5265-5230</t>
  </si>
  <si>
    <t>5265-5395</t>
  </si>
  <si>
    <t>METER DEPOSIT REFUNDS</t>
  </si>
  <si>
    <t>5265-5396</t>
  </si>
  <si>
    <t>METER DEPOSITS APPLIED TO BILL</t>
  </si>
  <si>
    <t>000-NON-DEPARTMENTAL</t>
  </si>
  <si>
    <t>TRANSFER FROM TWDB</t>
  </si>
  <si>
    <t>INTEREST INCOME</t>
  </si>
  <si>
    <t>5000-5503</t>
  </si>
  <si>
    <t>SPECIAL PROJECT COSTS</t>
  </si>
  <si>
    <t>5000-5505</t>
  </si>
  <si>
    <t>BASIC ENGINEERING FEES</t>
  </si>
  <si>
    <t>5000-5507</t>
  </si>
  <si>
    <t>COST OF ISSUANCE OF BONDS</t>
  </si>
  <si>
    <t>5000-5509</t>
  </si>
  <si>
    <t>CONSTRUCTION COSTS</t>
  </si>
  <si>
    <t>5000-5589</t>
  </si>
  <si>
    <t>CONTINGENCY COSTS</t>
  </si>
  <si>
    <t>HOTEL/MOTEL TAX REVENUE</t>
  </si>
  <si>
    <t>TRANSITION REVENUE</t>
  </si>
  <si>
    <t>5000-5355.140</t>
  </si>
  <si>
    <t>VERNON CHAMBER SEED MONEY</t>
  </si>
  <si>
    <t>5000-5355.141</t>
  </si>
  <si>
    <t>VERNON CHAMBER OF COMMERCE</t>
  </si>
  <si>
    <t>5000-5355.143</t>
  </si>
  <si>
    <t>RED RIVER VALLEY MUSEUM</t>
  </si>
  <si>
    <t>5000-5355.147</t>
  </si>
  <si>
    <t>COV ADMIN FEE</t>
  </si>
  <si>
    <t>5000-5355.501</t>
  </si>
  <si>
    <t>VERNON BASKETBALL TOURNAMENT</t>
  </si>
  <si>
    <t>5000-5355.521</t>
  </si>
  <si>
    <t>VERNON COLLEGE BASKETBALL</t>
  </si>
  <si>
    <t>5000-5355.522</t>
  </si>
  <si>
    <t>VERNON COLLEGE RODEO</t>
  </si>
  <si>
    <t>5000-5355.523</t>
  </si>
  <si>
    <t>VERNON COLLEGE VOLLEYBALL TOUR</t>
  </si>
  <si>
    <t>5000-5355.531</t>
  </si>
  <si>
    <t>WCEC JRCA FINALS</t>
  </si>
  <si>
    <t>5000-5355.532</t>
  </si>
  <si>
    <t>WCEC TRISTATE HS RODEO FINALS</t>
  </si>
  <si>
    <t>5000-5355.533</t>
  </si>
  <si>
    <t>WCEC TX HS RODEO ASSOC</t>
  </si>
  <si>
    <t>5000-5355.534</t>
  </si>
  <si>
    <t>WCEC USCRA ROPING</t>
  </si>
  <si>
    <t>5000-5355.535</t>
  </si>
  <si>
    <t>WCEC TCRA RODEO FINALS</t>
  </si>
  <si>
    <t>5000-5355.536</t>
  </si>
  <si>
    <t>WCEC MCRA RODEO</t>
  </si>
  <si>
    <t>5000-5355.537</t>
  </si>
  <si>
    <t>WCEC COWBOY MOUNTED SHOOTING</t>
  </si>
  <si>
    <t>5000-5355.538</t>
  </si>
  <si>
    <t>WCEC TCRA RODEO</t>
  </si>
  <si>
    <t>5000-5355.551</t>
  </si>
  <si>
    <t>DISTRICT 3 F-H ROUNDUP</t>
  </si>
  <si>
    <t>5000-5355.552</t>
  </si>
  <si>
    <t>DISTRICT 3 4-H NUTRITQUIZ BOWL</t>
  </si>
  <si>
    <t>5000-5355.553</t>
  </si>
  <si>
    <t>DISTRICT 3 4-H FOOD SHOW</t>
  </si>
  <si>
    <t>5000-5355.554</t>
  </si>
  <si>
    <t>DISTRICT 3 4-H HORSE SHOW</t>
  </si>
  <si>
    <t>5000-5355.555</t>
  </si>
  <si>
    <t>DISTRICT 3 4-H HORSE JUDGING</t>
  </si>
  <si>
    <t>5000-5355.571</t>
  </si>
  <si>
    <t>CELEBRATE THE WESTERN TRAIL</t>
  </si>
  <si>
    <t>5000-5355.572</t>
  </si>
  <si>
    <t>CHRISTMAS ON WESTERN TRAIL</t>
  </si>
  <si>
    <t>5000-5355.573</t>
  </si>
  <si>
    <t>WESTERN TRL COWBOY MOUNTED SHO</t>
  </si>
  <si>
    <t>5000-5355.574</t>
  </si>
  <si>
    <t>SANTA ROSA ROUNDUP</t>
  </si>
  <si>
    <t>5000-5355.575</t>
  </si>
  <si>
    <t>VINTAGE VERNON FOUNDATION</t>
  </si>
  <si>
    <t>5000-5355.576</t>
  </si>
  <si>
    <t>DOAN'S PICNIC ASSOCIATION</t>
  </si>
  <si>
    <t>5000-5355.577</t>
  </si>
  <si>
    <t>FARMFEST</t>
  </si>
  <si>
    <t>5000-5355.578</t>
  </si>
  <si>
    <t>ODELL DAYS</t>
  </si>
  <si>
    <t>5000-5355.579</t>
  </si>
  <si>
    <t>VERNON BURNIN' BIKE RIDE</t>
  </si>
  <si>
    <t>5000-5355.580</t>
  </si>
  <si>
    <t>TEXOMA CRUISERS BURNOUT CONTES</t>
  </si>
  <si>
    <t>5000-5355.581</t>
  </si>
  <si>
    <t>SANTA ROSA PARADE</t>
  </si>
  <si>
    <t>5000-5355.583</t>
  </si>
  <si>
    <t>TEXOMA CRUISERS MOTORCYCLE</t>
  </si>
  <si>
    <t>5000-5355.584</t>
  </si>
  <si>
    <t>SUMMER'S LAST BLAST</t>
  </si>
  <si>
    <t>5000-5355.585</t>
  </si>
  <si>
    <t>SANTA ROSA RANCH PERFORMANCE</t>
  </si>
  <si>
    <t>5000-5355.651</t>
  </si>
  <si>
    <t>N TX STATE HOSP FORENSICS CONF</t>
  </si>
  <si>
    <t>5000-5356.100</t>
  </si>
  <si>
    <t>BILLBOARDS</t>
  </si>
  <si>
    <t>5000-5356.200</t>
  </si>
  <si>
    <t>MARKETING CAMPAIGN</t>
  </si>
  <si>
    <t>5000-5356.300</t>
  </si>
  <si>
    <t>HOSPITALITY EVENTS</t>
  </si>
  <si>
    <t>5000-5356.400</t>
  </si>
  <si>
    <t>SPORTS COMMITTEE EVENTS</t>
  </si>
  <si>
    <t>5000-5356.500</t>
  </si>
  <si>
    <t>CREATIVE MARKETING CONTINGENCY</t>
  </si>
  <si>
    <t>5000-5356.600</t>
  </si>
  <si>
    <t>5000-5358.100</t>
  </si>
  <si>
    <t>TEAGARDEN MUSEUM</t>
  </si>
  <si>
    <t>5000-5358.200</t>
  </si>
  <si>
    <t>MARKETING CAMPAIGN PHASE II</t>
  </si>
  <si>
    <t>5000-5358.300</t>
  </si>
  <si>
    <t>REGIONAL WRESTLING TOURNAMENT</t>
  </si>
  <si>
    <t>MAIN STREET PROGRAM</t>
  </si>
  <si>
    <t>4990.AEP</t>
  </si>
  <si>
    <t>FIRE AEP DONATION</t>
  </si>
  <si>
    <t>4990.CHP</t>
  </si>
  <si>
    <t>CHAPMAN TREE GRANT REVENUE</t>
  </si>
  <si>
    <t>4990.DOJ</t>
  </si>
  <si>
    <t>DOJ GRANT</t>
  </si>
  <si>
    <t>4990.FIR</t>
  </si>
  <si>
    <t>DONATIONS - FIRE DEPT</t>
  </si>
  <si>
    <t>4990.HSG</t>
  </si>
  <si>
    <t>HSGP GRANT REVENUE - FIRE</t>
  </si>
  <si>
    <t>4990.LCL</t>
  </si>
  <si>
    <t>BJA LOCAL GRANT</t>
  </si>
  <si>
    <t>4990.LEO</t>
  </si>
  <si>
    <t>GRANTS - LEOSE GRANT POLICE</t>
  </si>
  <si>
    <t>4990.RAC</t>
  </si>
  <si>
    <t>RAC GRANT REVENUE</t>
  </si>
  <si>
    <t>4990.SCO</t>
  </si>
  <si>
    <t>SECO 2010 ENERGY GRANT</t>
  </si>
  <si>
    <t>4990.SHS</t>
  </si>
  <si>
    <t>SHSP GRANTS</t>
  </si>
  <si>
    <t>4990.SRB</t>
  </si>
  <si>
    <t>SANTA ROSA BANNERS GRANT</t>
  </si>
  <si>
    <t>4990.TCH</t>
  </si>
  <si>
    <t>CJD TECHNOLOGY GRANT</t>
  </si>
  <si>
    <t>4990.TEX</t>
  </si>
  <si>
    <t>TEEX-ESTI GRANT</t>
  </si>
  <si>
    <t>4990.TFS</t>
  </si>
  <si>
    <t>FIRE GRANT - TX FOREST SVC</t>
  </si>
  <si>
    <t>4990.TXD</t>
  </si>
  <si>
    <t>TXDOT GRANT</t>
  </si>
  <si>
    <t>5120-5000.WM</t>
  </si>
  <si>
    <t>POLICE WALMART DONATION</t>
  </si>
  <si>
    <t>5120-5008.SHS</t>
  </si>
  <si>
    <t>2008 SHSP POLICE GRANT</t>
  </si>
  <si>
    <t>5120-5009.DOJ</t>
  </si>
  <si>
    <t>2009 DOJ BULLETPROOF VESTS</t>
  </si>
  <si>
    <t>5120-5009.LCL</t>
  </si>
  <si>
    <t>2009 BJA LOCAL POLICE GRANT</t>
  </si>
  <si>
    <t>5120-5009.TCH</t>
  </si>
  <si>
    <t>2009 CJD TECH POLICE GRANT</t>
  </si>
  <si>
    <t>5120-5009.TXD</t>
  </si>
  <si>
    <t>2009 TXDOT POLICE GRANT</t>
  </si>
  <si>
    <t>5120-5010.DOJ</t>
  </si>
  <si>
    <t>2010 DOJ BULLETPROOF VESTS</t>
  </si>
  <si>
    <t>5120-5010.LEO</t>
  </si>
  <si>
    <t>2010 LEOSE POLICE GRANT</t>
  </si>
  <si>
    <t>5120-5010.SHS</t>
  </si>
  <si>
    <t>2010 SHSP POLICE GRANT</t>
  </si>
  <si>
    <t>5121-5007.SHS</t>
  </si>
  <si>
    <t>2007 SHSP FIRE GRANT</t>
  </si>
  <si>
    <t>5121-5008.SHS</t>
  </si>
  <si>
    <t>2008 SHSP FIRE GRANT</t>
  </si>
  <si>
    <t>5121-5009.HSG</t>
  </si>
  <si>
    <t>2009 HSG FIRE GRANT</t>
  </si>
  <si>
    <t>5121-5009.SHS</t>
  </si>
  <si>
    <t>2009 SHSP FIRE GRANT</t>
  </si>
  <si>
    <t>5121-5009.TEX</t>
  </si>
  <si>
    <t>2009 TEEX-ESTI FIRE GRANT</t>
  </si>
  <si>
    <t>5121-5010.LEO</t>
  </si>
  <si>
    <t>2010 LEOSE FIRE GRANT</t>
  </si>
  <si>
    <t>5121-5010.SHS</t>
  </si>
  <si>
    <t>2010 SHSP FIRE GRANT</t>
  </si>
  <si>
    <t>5121-5010.TFS</t>
  </si>
  <si>
    <t>5121-5011.AEP</t>
  </si>
  <si>
    <t>2011 AEP FIRE GRANT</t>
  </si>
  <si>
    <t>5125-5000.WM</t>
  </si>
  <si>
    <t>EMS WALMART DONATION</t>
  </si>
  <si>
    <t>5125-5010.RAC</t>
  </si>
  <si>
    <t>2010 RAC EMS GRANT</t>
  </si>
  <si>
    <t>5125-5011.RAC</t>
  </si>
  <si>
    <t>2011 RAC EMS GRANT</t>
  </si>
  <si>
    <t>5130-5010.CHP</t>
  </si>
  <si>
    <t>2010 CHAPMAN TREE GRANT</t>
  </si>
  <si>
    <t>5130-5010.SCO</t>
  </si>
  <si>
    <t>2010 SECO ENERGY GRANT</t>
  </si>
  <si>
    <t>2010 SANTA ROSA BANNERS GRANT</t>
  </si>
  <si>
    <t>4990.MAI</t>
  </si>
  <si>
    <t>MAIDEN ST GRANT REVENUE</t>
  </si>
  <si>
    <t>5130-5999.MAI</t>
  </si>
  <si>
    <t>MAIDEN ST PROJ 729680</t>
  </si>
  <si>
    <t>5000-5001</t>
  </si>
  <si>
    <t>GRANT ADMIN</t>
  </si>
  <si>
    <t>TRANSFER FROM ENTERPRISE-00 CO</t>
  </si>
  <si>
    <t>4130.94T</t>
  </si>
  <si>
    <t>TRANSFER FROM SRF94</t>
  </si>
  <si>
    <t>2009 CO DEBT SERVICE</t>
  </si>
  <si>
    <t>4130.REF</t>
  </si>
  <si>
    <t>REFUNDING BONDS REVENUE</t>
  </si>
  <si>
    <t>5000-5610.000</t>
  </si>
  <si>
    <t>5000-5610.002</t>
  </si>
  <si>
    <t>5000-5610.005</t>
  </si>
  <si>
    <t>5000-5610.009</t>
  </si>
  <si>
    <t>INTEREST - 2009 CO</t>
  </si>
  <si>
    <t>5000-5610.010</t>
  </si>
  <si>
    <t>INTEREST - 2010 CO</t>
  </si>
  <si>
    <t>5000-5610.94</t>
  </si>
  <si>
    <t>INTEREST - 1994 CO</t>
  </si>
  <si>
    <t>5000-5620.000</t>
  </si>
  <si>
    <t>5000-5620.002</t>
  </si>
  <si>
    <t>5000-5620.005</t>
  </si>
  <si>
    <t>5000-5620.009</t>
  </si>
  <si>
    <t>PRINCIPAL - 2009 CO</t>
  </si>
  <si>
    <t>5000-5620.010</t>
  </si>
  <si>
    <t>PRINCIPAL - 2010 CO</t>
  </si>
  <si>
    <t>5000-5620.94</t>
  </si>
  <si>
    <t>PRINCIPAL - 1994 CO</t>
  </si>
  <si>
    <t>5000-5630</t>
  </si>
  <si>
    <t>5000-5640</t>
  </si>
  <si>
    <t>BANK/REPORTING FEES</t>
  </si>
  <si>
    <t>5000-5699</t>
  </si>
  <si>
    <t>BOND REISSUE FEES</t>
  </si>
  <si>
    <t>BOND PROCEEDS</t>
  </si>
  <si>
    <t>SALE OF SURPLUS PROPERTY</t>
  </si>
  <si>
    <t>5000-5503.FIR</t>
  </si>
  <si>
    <t>SPECIAL PROJECT COSTS-FIRE STA</t>
  </si>
  <si>
    <t>5000-5503.SWI</t>
  </si>
  <si>
    <t>SPECIAL PROJECT COSTS-POOL</t>
  </si>
  <si>
    <t>5000-5505.FIR</t>
  </si>
  <si>
    <t>BASIC ENGINEERING FEES-FIRE ST</t>
  </si>
  <si>
    <t>5000-5505.SWI</t>
  </si>
  <si>
    <t>BASIS ENGINEERING FEES-POOL</t>
  </si>
  <si>
    <t>5000-5509.FIR</t>
  </si>
  <si>
    <t>CONSTRUCTION COSTS-FIRE STATIO</t>
  </si>
  <si>
    <t>5000-5509.SWI</t>
  </si>
  <si>
    <t>CONSTRUCTION COSTS-POOL</t>
  </si>
  <si>
    <t>5000-5589.FIR</t>
  </si>
  <si>
    <t>CONTINGENCY COSTS-FIRE STATION</t>
  </si>
  <si>
    <t>5000-5589.SWI</t>
  </si>
  <si>
    <t>CONTINGENCY COSTS-POOL</t>
  </si>
  <si>
    <t>PERPETUAL CARE SPACES</t>
  </si>
  <si>
    <t>5000-5710</t>
  </si>
  <si>
    <t>TRANSFER INTEREST TO GENERAL</t>
  </si>
  <si>
    <t>5000-5720</t>
  </si>
  <si>
    <t>TRANSFER TO GENERAL FUND</t>
  </si>
  <si>
    <t>DONATIONS-EASTVIEW CEMETERY</t>
  </si>
  <si>
    <t>DONATIONS-NEW AQUATICS CENTER</t>
  </si>
  <si>
    <t>4800.BRK</t>
  </si>
  <si>
    <t>BRICK DONATIONS - AQUATIC CTR</t>
  </si>
  <si>
    <t>SALE OF PARK LAND</t>
  </si>
  <si>
    <t>5000-5251.70</t>
  </si>
  <si>
    <t>EXPENDITURES-PARK ITEMS</t>
  </si>
  <si>
    <t>5000-5790</t>
  </si>
  <si>
    <t>TRANSFER TO ELECTRIC TRUST EXP</t>
  </si>
  <si>
    <t>RECEIPTS-CHRISTMAS DECORATIONS</t>
  </si>
  <si>
    <t>5000-5251.101</t>
  </si>
  <si>
    <t>EXPENDITURES-CHRISTMAS DECORAT</t>
  </si>
  <si>
    <t>RECEIPTS-SEIZURE FUND</t>
  </si>
  <si>
    <t>5000-5251.102</t>
  </si>
  <si>
    <t>EXPENDITURES-SEIZURE FUND</t>
  </si>
  <si>
    <t>RECEIPTS-CRIME FUND</t>
  </si>
  <si>
    <t>5000-5251.103</t>
  </si>
  <si>
    <t>EXPENDITURES-CRIME FUND</t>
  </si>
  <si>
    <t>RECEIPTS-VOLUNTEER FIREMEN FD</t>
  </si>
  <si>
    <t>5000-5251.104</t>
  </si>
  <si>
    <t>EXPENDITURES-VOLUNTEER FIREMAN</t>
  </si>
  <si>
    <t>RECEIPTS-BENEVOLENCE FUND</t>
  </si>
  <si>
    <t>5000-5251.105</t>
  </si>
  <si>
    <t>EXPENDITURES-BENEVOLENCE FUND</t>
  </si>
  <si>
    <t>RECEIPTS - CHRISTMAS CLUB EMP</t>
  </si>
  <si>
    <t>5000-5251.110</t>
  </si>
  <si>
    <t>TRANSFER FROM ELEC TRST PRINCI</t>
  </si>
  <si>
    <t>5000-5531</t>
  </si>
  <si>
    <t>5000-5545</t>
  </si>
  <si>
    <t>STREETS,ROADWAYS,ALLEYS</t>
  </si>
  <si>
    <t>5000-5553</t>
  </si>
  <si>
    <t>5000-5800</t>
  </si>
  <si>
    <t>DEPT HOUSING/COMMUNITY AFFAIRS</t>
  </si>
  <si>
    <t>NORTEX ADMINISTRATION FEE</t>
  </si>
  <si>
    <t>TRANSFER FROM GENERAL FUND</t>
  </si>
  <si>
    <t>CITY OF VERNON EMPLOYEE DEDUCT</t>
  </si>
  <si>
    <t>BDC OF VERNON EMPLOYEE COVERAG</t>
  </si>
  <si>
    <t>TRANSFER FROM WORKERS COMPENSA</t>
  </si>
  <si>
    <t>5000-5331</t>
  </si>
  <si>
    <t>HEALTH BENEFITS</t>
  </si>
  <si>
    <t>5000-5331.REF</t>
  </si>
  <si>
    <t>HEALTH BENEFITS REFUND TO CITY</t>
  </si>
  <si>
    <t>TRANSFER FROM GENERAL</t>
  </si>
  <si>
    <t>WORKERS COMPENSATION CLAIMS</t>
  </si>
  <si>
    <t>WORKERS COMP CLAIMS REFUNDS</t>
  </si>
  <si>
    <t>5000-5331.TRF</t>
  </si>
  <si>
    <t>TRANSFER TO EBT</t>
  </si>
  <si>
    <t>2009 CO PROJECT FUNDS</t>
  </si>
  <si>
    <t>TWDB FUNDS RELEASED</t>
  </si>
  <si>
    <t>CITY OF VERNON</t>
  </si>
  <si>
    <t>ACTUAL</t>
  </si>
  <si>
    <t>REV/EXP</t>
  </si>
  <si>
    <t>07/08</t>
  </si>
  <si>
    <t>08/09</t>
  </si>
  <si>
    <t>09/10</t>
  </si>
  <si>
    <t>BUDGET</t>
  </si>
  <si>
    <t>YTD</t>
  </si>
  <si>
    <t>AS OF</t>
  </si>
  <si>
    <t>ESTIMATED</t>
  </si>
  <si>
    <t>12 MOS</t>
  </si>
  <si>
    <t>EXP</t>
  </si>
  <si>
    <t>11/12</t>
  </si>
  <si>
    <t>PROPOSED</t>
  </si>
  <si>
    <t>TOTAL SUPPLIES</t>
  </si>
  <si>
    <t>TOTAL OTHER SERVICES AND CHARGES</t>
  </si>
  <si>
    <t>TOTAL CAPITAL OUTLAY</t>
  </si>
  <si>
    <t>SUPPLIES:</t>
  </si>
  <si>
    <t>OTHER SERVICES AND CHARGES:</t>
  </si>
  <si>
    <t>MAINTENANCE:</t>
  </si>
  <si>
    <t>CAPITAL OUTLAY:</t>
  </si>
  <si>
    <t>*** END OF FUND REPORT ***</t>
  </si>
  <si>
    <t>FUND EXPENDITURE SUMMARY:</t>
  </si>
  <si>
    <t>TOTAL 110-BUSINESS DEVELOPMENT CORP</t>
  </si>
  <si>
    <t>TOTAL 111-LEGISLATIVE</t>
  </si>
  <si>
    <t>TOTAL 112-CITY MANAGER</t>
  </si>
  <si>
    <t>TOTAL 113-CITY SECRETARY</t>
  </si>
  <si>
    <t>TOTAL 114-LEGAL</t>
  </si>
  <si>
    <t>TOTAL 116-HEALTH</t>
  </si>
  <si>
    <t>TOTAL 118-STREETS</t>
  </si>
  <si>
    <t>TOTAL 119-GARAGE</t>
  </si>
  <si>
    <t>TOTAL 120-POLICE DEPARTMENT</t>
  </si>
  <si>
    <t>TOTAL 121-FIRE DEPARTMENT</t>
  </si>
  <si>
    <t>TOTAL 122-CEMETERY DEPARTMENT</t>
  </si>
  <si>
    <t>TOTAL 123-COURT</t>
  </si>
  <si>
    <t>TOTAL 125-AMBULANCE/EMS</t>
  </si>
  <si>
    <t>TOTAL 126-PARKS DEPARTMENT</t>
  </si>
  <si>
    <t>TOTAL 128-PURCHASING</t>
  </si>
  <si>
    <t>TOTAL 129-FINANCE</t>
  </si>
  <si>
    <t>TOTAL 130-CODE ENFORCEMENT</t>
  </si>
  <si>
    <t>TOTAL 149-SPECIAL ITEMS</t>
  </si>
  <si>
    <t>TOTAL 160-MAIN STREET</t>
  </si>
  <si>
    <t>TOTAL 250-UTILITY/COLLECTIONS</t>
  </si>
  <si>
    <t>TOTAL 253-LANDFILL/SANITATION</t>
  </si>
  <si>
    <t>TOTAL 259-SPECIAL ITEMS</t>
  </si>
  <si>
    <t>TOTAL 260-DEBT SERVICE</t>
  </si>
  <si>
    <t>TOTAL 265-METER DEPOSITS</t>
  </si>
  <si>
    <t>TOTAL 252-WASTEWATER TREATMENT PLANT</t>
  </si>
  <si>
    <t>110-BUSINESS DEVELOPMENT CORP PERSONNEL SERVICES:</t>
  </si>
  <si>
    <t>110-BUSINESS DEVELOPMENT CORP SUPPLIES:</t>
  </si>
  <si>
    <t>110-BUSINESS DEVELOPMENT CORP SUPPLIES</t>
  </si>
  <si>
    <t>111-LEGISLATIVE PERSONNEL SERVICES:</t>
  </si>
  <si>
    <t>111-LEGISLATIVE PERSONNEL SERVICES</t>
  </si>
  <si>
    <t>111-LEGISLATIVE SUPPLIES</t>
  </si>
  <si>
    <t>111-LEGISLATIVE OTHER SERVICES AND CHARGES:</t>
  </si>
  <si>
    <t>111-LEGISLATIVE OTHER SERVICES AND CHARGES</t>
  </si>
  <si>
    <t>111-LEGISLATIVE MAINTENANCE:</t>
  </si>
  <si>
    <t>111-LEGISLATIVE MAINTENANCE</t>
  </si>
  <si>
    <t>112-CITY MANAGER PERSONNEL SERVICES:</t>
  </si>
  <si>
    <t>112-CITY MANAGER PERSONNEL SERVICES</t>
  </si>
  <si>
    <t>112-CITY MANAGER SUPPLIES:</t>
  </si>
  <si>
    <t>112-CITY MANAGER SUPPLIES</t>
  </si>
  <si>
    <t>112-CITY MANAGER SERVICES AND CHARGES:</t>
  </si>
  <si>
    <t>112-CITY MANAGER OTHER SERVICES AND CHARGES</t>
  </si>
  <si>
    <t>112-CITY MANAGER MAINTENANCE:</t>
  </si>
  <si>
    <t>112-CITY MANAGER MAINTENANCE</t>
  </si>
  <si>
    <t>112-CITY MANAGER CAPITAL OUTLAY:</t>
  </si>
  <si>
    <t>112-CITY MANAGER CAPITAL OUTLAY</t>
  </si>
  <si>
    <t>113-CITY SECRETARY PERSONNEL SERVICES:</t>
  </si>
  <si>
    <t>113-CITY SECRETARY PERSONNEL SERVICES</t>
  </si>
  <si>
    <t>113-CITY SECRETARY SUPPLIES:</t>
  </si>
  <si>
    <t>113-CITY SECRETARY SUPPLIES</t>
  </si>
  <si>
    <t>113-CITY SECRETARY SERVICES AND CHARGES:</t>
  </si>
  <si>
    <t>113-CITY SECRETARY OTHER SERVICES AND CHARGES</t>
  </si>
  <si>
    <t>113-CITY SECRETARY MAINTENANCE:</t>
  </si>
  <si>
    <t>113-CITY SECRETARY MAINTENANCE</t>
  </si>
  <si>
    <t>113-CITY SECRETARY CAPITAL OUTLAY:</t>
  </si>
  <si>
    <t>113-CITY SECRETARY CAPITAL OUTLAY</t>
  </si>
  <si>
    <t>114-LEGAL PERSONNEL SERVICES:</t>
  </si>
  <si>
    <t>114-LEGAL PERSONNEL SERVICES</t>
  </si>
  <si>
    <t>114-LEGAL SUPPLIES:</t>
  </si>
  <si>
    <t>114-LEGAL SUPPLIES</t>
  </si>
  <si>
    <t>114-LEGAL OTHER SERVICES AND CHARGES:</t>
  </si>
  <si>
    <t>114-LEGAL OTHER SERVICES AND CHARGES</t>
  </si>
  <si>
    <t>114-LEGAL MAINTENANCE:</t>
  </si>
  <si>
    <t>114-LEGAL MAINTENANCE</t>
  </si>
  <si>
    <t>114-LEGAL CAPITAL OUTLAY:</t>
  </si>
  <si>
    <t>114-LEGAL CAPITAL OUTLAY</t>
  </si>
  <si>
    <t>116-HEALTH PERSONNEL SERVICES:</t>
  </si>
  <si>
    <t>116-HEALTH PERSONNEL SERVICES</t>
  </si>
  <si>
    <t>116-HEALTH SUPPLIES:</t>
  </si>
  <si>
    <t>116-HEALTH SUPPLIES</t>
  </si>
  <si>
    <t>116-HEALTH OTHER SERVICES AND CHARGES:</t>
  </si>
  <si>
    <t>116-HEALTH OTHER SERVICES AND CHARGES</t>
  </si>
  <si>
    <t>116-HEALTH MAINTENANCE:</t>
  </si>
  <si>
    <t>116-HEALTH MAINTENANCE</t>
  </si>
  <si>
    <t>116-HEALTH CAPITAL OUTLAY:</t>
  </si>
  <si>
    <t>116-HEALTH CAPITAL OUTLAY</t>
  </si>
  <si>
    <t>118-STREETS PERSONNEL SERVICES:</t>
  </si>
  <si>
    <t>118-STREETS PERSONNEL SERVICES</t>
  </si>
  <si>
    <t>118-STREETS SUPPLIES:</t>
  </si>
  <si>
    <t>118-STREETS SUPPLIES</t>
  </si>
  <si>
    <t>118-STREETS OTHER SERVICES AND CHARGES:</t>
  </si>
  <si>
    <t>118-STREETS OTHER SERVICES AND CHARGES</t>
  </si>
  <si>
    <t>118-STREETS MAINTENANCE:</t>
  </si>
  <si>
    <t>118-STREETS MAINTENANCE</t>
  </si>
  <si>
    <t>118-STREETS CAPITAL OUTLAY:</t>
  </si>
  <si>
    <t>118-STREETS CAPITAL OUTLAY</t>
  </si>
  <si>
    <t>119-GARAGE PERSONNEL SERVICES:</t>
  </si>
  <si>
    <t>119-GARAGE PERSONNEL SERVICES</t>
  </si>
  <si>
    <t>119-GARAGE SUPPLIES:</t>
  </si>
  <si>
    <t>119-GARAGE SUPPLIES</t>
  </si>
  <si>
    <t>119-GARAGE OTHER SERVICES AND CHARGES:</t>
  </si>
  <si>
    <t>119-GARAGE OTHER SERVICES AND CHARGES</t>
  </si>
  <si>
    <t>119-GARAGE MAINTENANCE:</t>
  </si>
  <si>
    <t>119-GARAGE MAINTENANCE</t>
  </si>
  <si>
    <t>119-GARAGE CAPITAL OUTLAY:</t>
  </si>
  <si>
    <t>119-GARAGE CAPITAL OUTLAY</t>
  </si>
  <si>
    <t>120-POLICE DEPARTMENT PERSONNEL SERVICES:</t>
  </si>
  <si>
    <t>120-POLICE DEPARTMENT PERSONNEL SERVICES</t>
  </si>
  <si>
    <t>120-POLICE DEPARTMENT SUPPLIES:</t>
  </si>
  <si>
    <t>120-POLICE DEPARTMENT SUPPLIES</t>
  </si>
  <si>
    <t>120-POLICE DEPARTMENT OTHER SERVICES AND CHARGES:</t>
  </si>
  <si>
    <t>120-POLICE DEPARTMENT OTHER SERVICES AND CHARGES</t>
  </si>
  <si>
    <t>120-POLICE DEPARTMENT MAINTENANCE:</t>
  </si>
  <si>
    <t>120-POLICE DEPARTMENT MAINTENANCE</t>
  </si>
  <si>
    <t>120-POLICE DEPARTMENT CAPITAL OUTLAY:</t>
  </si>
  <si>
    <t>120-POLICE DEPARTMENT CAPITAL OUTLAY</t>
  </si>
  <si>
    <t>121-FIRE DEPARTMENT PERSONNEL SERVICES:</t>
  </si>
  <si>
    <t>121-FIRE DEPARTMENT PERSONNEL SERVICES</t>
  </si>
  <si>
    <t>121-FIRE DEPARTMENT SUPPLIES:</t>
  </si>
  <si>
    <t>121-FIRE DEPARTMENT SUPPLIES</t>
  </si>
  <si>
    <t>121-FIRE DEPARTMENT OTHER SERVICES AND CHARGES:</t>
  </si>
  <si>
    <t>121-FIRE DEPARTMENT OTHER SERVICES AND CHARGES</t>
  </si>
  <si>
    <t>121-FIRE DEPARTMENT MAINTENANCE:</t>
  </si>
  <si>
    <t>121-FIRE DEPARTMENT MAINTENANCE</t>
  </si>
  <si>
    <t>121-FIRE DEPARTMENT CAPITAL OUTLAY:</t>
  </si>
  <si>
    <t>121-FIRE DEPARTMENT CAPITAL OUTLAY</t>
  </si>
  <si>
    <t>122-CEMETERY DEPARTMENT PERSONNEL SERVICES:</t>
  </si>
  <si>
    <t>122-CEMETERY DEPARTMENT PERSONNEL SERVICES</t>
  </si>
  <si>
    <t>122-CEMETERY DEPARTMENT SUPPLIES:</t>
  </si>
  <si>
    <t>122-CEMETERY DEPARTMENT SUPPLIES</t>
  </si>
  <si>
    <t>122-CEMETERY DEPARTMENT OTHER SERVICES AND CHARGES:</t>
  </si>
  <si>
    <t>122-CEMETERY DEPARTMENT OTHER SERVICES AND CHARGES</t>
  </si>
  <si>
    <t>122-CEMETERY DEPARTMENT MAINTENANCE:</t>
  </si>
  <si>
    <t>122-CEMETERY DEPARTMENT MAINTENANCE</t>
  </si>
  <si>
    <t>122-CEMETERY DEPARTMENT CAPITAL OUTLAY:</t>
  </si>
  <si>
    <t>122-CEMETERY DEPARTMENT CAPITAL OUTLAY</t>
  </si>
  <si>
    <t>123-COURT PERSONNEL SERVICES:</t>
  </si>
  <si>
    <t>123-COURT PERSONNEL SERVICES</t>
  </si>
  <si>
    <t>123-COURT SUPPLIES:</t>
  </si>
  <si>
    <t>123-COURT SUPPLIES</t>
  </si>
  <si>
    <t>123-COURT OTHER SERVICES AND CHARGES:</t>
  </si>
  <si>
    <t>123-COURT OTHER SERVICES AND CHARGES</t>
  </si>
  <si>
    <t>123-COURT MAINTENANCE:</t>
  </si>
  <si>
    <t>123-COURT MAINTENANCE</t>
  </si>
  <si>
    <t>123-COURT CAPITAL OUTLAY:</t>
  </si>
  <si>
    <t>123-COURT CAPITAL OUTLAY</t>
  </si>
  <si>
    <t>TOTAL 124-AQUATIC CENTER</t>
  </si>
  <si>
    <t>124-AQUATIC CENTER</t>
  </si>
  <si>
    <t>124-AQUATIC CENTER PERSONNEL SERVICES:</t>
  </si>
  <si>
    <t>124-AQUATIC CENTER PERSONNEL SERVICES</t>
  </si>
  <si>
    <t>124-AQUATIC CENTER SUPPLIES:</t>
  </si>
  <si>
    <t>124-AQUATIC CENTER SUPPLIES</t>
  </si>
  <si>
    <t>124-AQUATIC CENTER OTHER SERVICES AND CHARGES:</t>
  </si>
  <si>
    <t>124-AQUATIC CENTER OTHER SERVICES AND CHARGES</t>
  </si>
  <si>
    <t>124-AQUATIC CENTER MAINTENANCE:</t>
  </si>
  <si>
    <t>124-AQUATIC CENTER MAINTENANCE</t>
  </si>
  <si>
    <t>124-AQUATIC CENTER CAPITAL OUTLAY:</t>
  </si>
  <si>
    <t>124-AQUATIC CENTER CAPITAL OUTLAY</t>
  </si>
  <si>
    <t>125-AMBULANCE/EMS PERSONNEL SERVICES:</t>
  </si>
  <si>
    <t>125-AMBULANCE/EMS PERSONNEL SERVICES</t>
  </si>
  <si>
    <t>125-AMBULANCE/EMS SUPPLIES:</t>
  </si>
  <si>
    <t>125-AMBULANCE/EMS SUPPLIES</t>
  </si>
  <si>
    <t>125-AMBULANCE/EMS OTHER SERVICES AND CHARGES:</t>
  </si>
  <si>
    <t>125-AMBULANCE/EMS OTHER SERVICES AND CHARGES</t>
  </si>
  <si>
    <t>125-AMBULANCE/EMS MAINTENANCE:</t>
  </si>
  <si>
    <t>125-AMBULANCE/EMS MAINTENANCE</t>
  </si>
  <si>
    <t>125-AMBULANCE/EMS CAPITAL OUTLAY:</t>
  </si>
  <si>
    <t>125-AMBULANCE/EMS CAPITAL OUTLAY</t>
  </si>
  <si>
    <t>126-PARKS DEPARTMENT PERSONNEL SERVICES:</t>
  </si>
  <si>
    <t>126-PARKS DEPARTMENT PERSONNEL SERVICES</t>
  </si>
  <si>
    <t>126-PARKS DEPARTMENT SUPPLIES:</t>
  </si>
  <si>
    <t>126-PARKS DEPARTMENT SUPPLIES</t>
  </si>
  <si>
    <t>126-PARKS DEPARTMENT SERVICES AND CHARGES:</t>
  </si>
  <si>
    <t>126-PARKS DEPARTMENT OTHER SERVICES AND CHARGES</t>
  </si>
  <si>
    <t>126-PARKS DEPARTMENT MAINTENANCE:</t>
  </si>
  <si>
    <t>126-PARKS DEPARTMENT MAINTENANCE</t>
  </si>
  <si>
    <t>126-PARKS DEPARTMENT CAPITAL OUTLAY:</t>
  </si>
  <si>
    <t>126-PARKS DEPARTMENT CAPITAL OUTLAY</t>
  </si>
  <si>
    <t>128-PURCHASING PERSONNEL SERVICES:</t>
  </si>
  <si>
    <t>128-PURCHASING PERSONNEL SERVICES</t>
  </si>
  <si>
    <t>128-PURCHASING SUPPLIES:</t>
  </si>
  <si>
    <t>128-PURCHASING SUPPLIES</t>
  </si>
  <si>
    <t>128-PURCHASING OTHER SERVICES AND CHARGES:</t>
  </si>
  <si>
    <t>129-FINANCE PERSONNEL SERVICES:</t>
  </si>
  <si>
    <t>129-FINANCE PERSONNEL SERVICES</t>
  </si>
  <si>
    <t>129-FINANCE SUPPLIES:</t>
  </si>
  <si>
    <t>129-FINANCE SUPPLIES</t>
  </si>
  <si>
    <t>129-FINANCE OTHER SERVICES AND CHARGES:</t>
  </si>
  <si>
    <t>129-FINANCE OTHER SERVICES AND CHARGES</t>
  </si>
  <si>
    <t>129-FINANCE MAINTENANCE:</t>
  </si>
  <si>
    <t>129-FINANCE MAINTENANCE</t>
  </si>
  <si>
    <t>129-FINANCE CAPITAL OUTLAY:</t>
  </si>
  <si>
    <t>129-FINANCE CAPITAL OUTLAY</t>
  </si>
  <si>
    <t>TOTAL 130-COMMUNITY DEVELOPMENT</t>
  </si>
  <si>
    <t>130-COMMUNITY DEVELOPMENT</t>
  </si>
  <si>
    <t>130-COMMUNITY DEVELOPMENT PERSONNEL SERVICES:</t>
  </si>
  <si>
    <t>130-COMMUNITY DEVELOPMENT PERSONNEL SERVICES</t>
  </si>
  <si>
    <t>130-COMMUNITY DEVELOPMENT SUPPLIES:</t>
  </si>
  <si>
    <t>130-COMMUNITY DEVELOPMENT SUPPLIES</t>
  </si>
  <si>
    <t>130-COMMUNITY DEVELOPMENT OTHER SERVICES AND CHARGES:</t>
  </si>
  <si>
    <t>130-COMMUNITY DEVELOPMENT OTHER SERVICES AND CHARGES</t>
  </si>
  <si>
    <t>130-COMMUNITY DEVELOPMENT MAINTENANCE:</t>
  </si>
  <si>
    <t>130-COMMUNITY DEVELOPMENT MAINTENANCE</t>
  </si>
  <si>
    <t>130-COMMUNITY DEVELOPMENT CAPITAL OUTLAY:</t>
  </si>
  <si>
    <t>130-COMMUNITY DEVELOPMENT CAPITAL OUTLAY</t>
  </si>
  <si>
    <t>149-SPECIAL ITEMS PERSONNEL SERVICES:</t>
  </si>
  <si>
    <t>149-SPECIAL ITEMS PERSONNEL SERVICES</t>
  </si>
  <si>
    <t>149-SPECIAL ITEMS SUPPLIES:</t>
  </si>
  <si>
    <t>149-SPECIAL ITEMS SUPPLIES</t>
  </si>
  <si>
    <t>149-SPECIAL ITEMS OTHER SERVICES AND CHARGES:</t>
  </si>
  <si>
    <t>149-SPECIAL ITEMS OTHER SERVICES AND CHARGES</t>
  </si>
  <si>
    <t>149-SPECIAL ITEMS MAINTENANCE:</t>
  </si>
  <si>
    <t>149-SPECIAL ITEMS MAINTENANCE</t>
  </si>
  <si>
    <t>160-MAIN STREET PERSONNEL SERVICES:</t>
  </si>
  <si>
    <t>160-MAIN STREET PERSONNEL SERVICES</t>
  </si>
  <si>
    <t>160-MAIN STREET SUPPLIES:</t>
  </si>
  <si>
    <t>160-MAIN STREET SUPPLIES</t>
  </si>
  <si>
    <t>160-MAIN STREET OTHER SERVICES AND CHARGES:</t>
  </si>
  <si>
    <t>160-MAIN STREET OTHER SERVICES AND CHARGES</t>
  </si>
  <si>
    <t>160-MAIN STREET MAINTENANCE:</t>
  </si>
  <si>
    <t>160-MAIN STREET MAINTENANCE</t>
  </si>
  <si>
    <t>*** TOTAL FUND 10 EXPENSES ***</t>
  </si>
  <si>
    <t>*** FUND 10 REVENUES OVER(UNDER) EXPENSES ***</t>
  </si>
  <si>
    <t>FUND 10 EXPENDITURE SUMMARY:</t>
  </si>
  <si>
    <t>FUND 10 REVENUES:</t>
  </si>
  <si>
    <t>*** TOTAL FUND 10 REVENUES ***</t>
  </si>
  <si>
    <t>TOTAL ALL REVENUES FUND 10</t>
  </si>
  <si>
    <t>*** TOTAL FUND 10 EXPENDITURES ***</t>
  </si>
  <si>
    <t>TOTAL ALL REVENUES FUND 20</t>
  </si>
  <si>
    <t>TOTAL ALL REVENUES FUND 25</t>
  </si>
  <si>
    <t>TOTAL ALL REVENUES FUND 30</t>
  </si>
  <si>
    <t>TOTAL ALL REVENUES FUND 41</t>
  </si>
  <si>
    <t>TOTAL ALL REVENUES FUND 42</t>
  </si>
  <si>
    <t>TOTAL ALL REVENUES FUND 50</t>
  </si>
  <si>
    <t>TOTAL ALL REVENUES FUND 52</t>
  </si>
  <si>
    <t>TOTAL ALL REVENUES FUND 60</t>
  </si>
  <si>
    <t>TOTAL ALL REVENUES FUND 70</t>
  </si>
  <si>
    <t>TOTAL ALL REVENUES FUND 75</t>
  </si>
  <si>
    <t>TOTAL ALL REVENUES FUND 80</t>
  </si>
  <si>
    <t>TOTAL ALL REVENUES FUND 81</t>
  </si>
  <si>
    <t>TOTAL ALL REVENUES FUND 82</t>
  </si>
  <si>
    <t>TOTAL ALL REVENUES FUND 83</t>
  </si>
  <si>
    <t>TOTAL ALL REVENUES FUND 84</t>
  </si>
  <si>
    <t>TOTAL ALL REVENUES FUND 85</t>
  </si>
  <si>
    <t>TOTAL ALL REVENUES FUND 86</t>
  </si>
  <si>
    <t>TOTAL ALL REVENUES FUND 90</t>
  </si>
  <si>
    <t>TOTAL ALL REVENUES FUND 91</t>
  </si>
  <si>
    <t>TOTAL ALL REVENUES FUND 92</t>
  </si>
  <si>
    <t>TOTAL ALL REVENUES FUND 93</t>
  </si>
  <si>
    <t>TOTAL ALL REVENUES FUND 94</t>
  </si>
  <si>
    <t>TOTAL ALL REVENUES FUND 96</t>
  </si>
  <si>
    <t>TOTAL ALL REVENUES FUND 97</t>
  </si>
  <si>
    <t>FUND 20 REVENUE SUMMARY:</t>
  </si>
  <si>
    <t>FUND 25 REVENUE SUMMARY:</t>
  </si>
  <si>
    <t>FUND 30 REVENUE SUMMARY:</t>
  </si>
  <si>
    <t>FUND 41 REVENUE SUMMARY:</t>
  </si>
  <si>
    <t>FUND 42 REVENUE SUMMARY:</t>
  </si>
  <si>
    <t>FUND 50 REVENUE SUMMARY:</t>
  </si>
  <si>
    <t>FUND 52 REVENUE SUMMARY:</t>
  </si>
  <si>
    <t>FUND 60 REVENUE SUMMARY:</t>
  </si>
  <si>
    <t>FUND 70 REVENUE SUMMARY:</t>
  </si>
  <si>
    <t>FUND 75 REVENUE SUMMARY:</t>
  </si>
  <si>
    <t>FUND 80 REVENUE SUMMARY:</t>
  </si>
  <si>
    <t>FUND 81 REVENUE SUMMARY:</t>
  </si>
  <si>
    <t>FUND 82 REVENUE SUMMARY:</t>
  </si>
  <si>
    <t>FUND 83 REVENUE SUMMARY:</t>
  </si>
  <si>
    <t>FUND 84 REVENUE SUMMARY:</t>
  </si>
  <si>
    <t>FUND 85 REVENUE SUMMARY:</t>
  </si>
  <si>
    <t>FUND 86 REVENUE SUMMARY:</t>
  </si>
  <si>
    <t>FUND 90 REVENUE SUMMARY:</t>
  </si>
  <si>
    <t>FUND 91 REVENUE SUMMARY:</t>
  </si>
  <si>
    <t>FUND 92 REVENUE SUMMARY:</t>
  </si>
  <si>
    <t>FUND 93 REVENUE SUMMARY:</t>
  </si>
  <si>
    <t>FUND 94 REVENUE SUMMARY:</t>
  </si>
  <si>
    <t>FUND 96 REVENUE SUMMARY:</t>
  </si>
  <si>
    <t>FUND 97 REVENUE SUMMARY:</t>
  </si>
  <si>
    <t>*** FUND 20 REVENUES OVER(UNDER) EXPENSES ***</t>
  </si>
  <si>
    <t>*** FUND 25 REVENUES OVER(UNDER) EXPENSES ***</t>
  </si>
  <si>
    <t>*** FUND 30 REVENUES OVER(UNDER) EXPENSES ***</t>
  </si>
  <si>
    <t>*** FUND 40 REVENUES OVER(UNDER) EXPENSES ***</t>
  </si>
  <si>
    <t>*** FUND 41 REVENUES OVER(UNDER) EXPENSES ***</t>
  </si>
  <si>
    <t>*** FUND 42 REVENUES OVER(UNDER) EXPENSES ***</t>
  </si>
  <si>
    <t>*** FUND 50 REVENUES OVER(UNDER) EXPENSES ***</t>
  </si>
  <si>
    <t>*** FUND 52 REVENUES OVER(UNDER) EXPENSES ***</t>
  </si>
  <si>
    <t>*** FUND 55 REVENUES OVER(UNDER) EXPENSES ***</t>
  </si>
  <si>
    <t>*** FUND 60 REVENUES OVER(UNDER) EXPENSES ***</t>
  </si>
  <si>
    <t>*** FUND 70 REVENUES OVER(UNDER) EXPENSES ***</t>
  </si>
  <si>
    <t>*** FUND 75 REVENUES OVER(UNDER) EXPENSES ***</t>
  </si>
  <si>
    <t>*** FUND 80 REVENUES OVER(UNDER) EXPENSES ***</t>
  </si>
  <si>
    <t>*** FUND 81 REVENUES OVER(UNDER) EXPENSES ***</t>
  </si>
  <si>
    <t>*** FUND 82 REVENUES OVER(UNDER) EXPENSES ***</t>
  </si>
  <si>
    <t>*** FUND 83 REVENUES OVER(UNDER) EXPENSES ***</t>
  </si>
  <si>
    <t>*** FUND 84 REVENUES OVER(UNDER) EXPENSES ***</t>
  </si>
  <si>
    <t>*** FUND 85 REVENUES OVER(UNDER) EXPENSES ***</t>
  </si>
  <si>
    <t>*** FUND 86 REVENUES OVER(UNDER) EXPENSES ***</t>
  </si>
  <si>
    <t>*** FUND 90 REVENUES OVER(UNDER) EXPENSES ***</t>
  </si>
  <si>
    <t>*** FUND 91 REVENUES OVER(UNDER) EXPENSES ***</t>
  </si>
  <si>
    <t>*** FUND 92 REVENUES OVER(UNDER) EXPENSES ***</t>
  </si>
  <si>
    <t>*** FUND 93 REVENUES OVER(UNDER) EXPENSES ***</t>
  </si>
  <si>
    <t>*** FUND 94 REVENUES OVER(UNDER) EXPENSES ***</t>
  </si>
  <si>
    <t>*** FUND 96 REVENUES OVER(UNDER) EXPENSES ***</t>
  </si>
  <si>
    <t>*** FUND 97 REVENUES OVER(UNDER) EXPENSES ***</t>
  </si>
  <si>
    <t>*** TOTAL FUND 20 EXPENSES ***</t>
  </si>
  <si>
    <t>*** TOTAL FUND 25 EXPENSES ***</t>
  </si>
  <si>
    <t>*** TOTAL FUND 30 EXPENSES ***</t>
  </si>
  <si>
    <t>*** TOTAL FUND 41 EXPENSES ***</t>
  </si>
  <si>
    <t>*** TOTAL FUND 42 EXPENSES ***</t>
  </si>
  <si>
    <t>*** TOTAL FUND 50 EXPENSES ***</t>
  </si>
  <si>
    <t>*** TOTAL FUND 52 EXPENSES ***</t>
  </si>
  <si>
    <t>*** TOTAL FUND 55 EXPENSES ***</t>
  </si>
  <si>
    <t>*** TOTAL FUND 60 EXPENSES ***</t>
  </si>
  <si>
    <t>*** TOTAL FUND 70 EXPENSES ***</t>
  </si>
  <si>
    <t>*** TOTAL FUND 75 EXPENSES ***</t>
  </si>
  <si>
    <t>*** TOTAL FUND 80 XPENSES ***</t>
  </si>
  <si>
    <t>*** TOTAL FUND 81 EXPENSES ***</t>
  </si>
  <si>
    <t>*** TOTAL FUND 82 EXPENSES ***</t>
  </si>
  <si>
    <t>*** TOTAL FUND 83 EXPENSES ***</t>
  </si>
  <si>
    <t>*** TOTAL FUND 84 EXPENSES ***</t>
  </si>
  <si>
    <t>*** TOTAL FUND 85 EXPENSES ***</t>
  </si>
  <si>
    <t>*** TOTAL FUND 86 EXPENSES ***</t>
  </si>
  <si>
    <t>*** TOTAL FUND 90 EXPENSES ***</t>
  </si>
  <si>
    <t>*** TOTAL FUND 91 EXPENSES ***</t>
  </si>
  <si>
    <t>*** TOTAL FUND 92 EXPENSES ***</t>
  </si>
  <si>
    <t>*** TOTAL FUND 93 EXPENSES ***</t>
  </si>
  <si>
    <t>*** TOTAL FUND 96 EXPENSES ***</t>
  </si>
  <si>
    <t>*** TOTAL FUND 97 EXPENSES ***</t>
  </si>
  <si>
    <t>*** TOTAL FUND 20 REVENUES ***</t>
  </si>
  <si>
    <t>*** TOTAL FUND 25 REVENUES ***</t>
  </si>
  <si>
    <t>*** TOTAL FUND 30 REVENUES ***</t>
  </si>
  <si>
    <t>*** TOTAL FUND 41 REVENUES ***</t>
  </si>
  <si>
    <t>*** TOTAL FUND 42 REVENUES ***</t>
  </si>
  <si>
    <t>*** TOTAL FUND 50 REVENUES ***</t>
  </si>
  <si>
    <t>*** TOTAL FUND 52 REVENUES ***</t>
  </si>
  <si>
    <t>*** TOTAL FUND 60 REVENUES ***</t>
  </si>
  <si>
    <t>*** TOTAL FUND 70 REVENUES ***</t>
  </si>
  <si>
    <t>*** TOTAL FUND 75 REVENUES ***</t>
  </si>
  <si>
    <t>*** TOTAL FUND 80 REVENUES ***</t>
  </si>
  <si>
    <t>*** TOTAL FUND 81 REVENUES ***</t>
  </si>
  <si>
    <t>*** TOTAL FUND 82 REVENUES ***</t>
  </si>
  <si>
    <t>*** TOTAL FUND 83 REVENUES ***</t>
  </si>
  <si>
    <t>*** TOTAL FUND 84 REVENUES ***</t>
  </si>
  <si>
    <t>*** TOTAL FUND 85 REVENUES ***</t>
  </si>
  <si>
    <t>*** TOTAL FUND 86 REVENUES ***</t>
  </si>
  <si>
    <t>*** TOTAL FUND 90 REVENUES ***</t>
  </si>
  <si>
    <t>*** TOTAL FUND 91 REVENUES ***</t>
  </si>
  <si>
    <t>*** TOTAL FUND 92 REVENUES ***</t>
  </si>
  <si>
    <t>*** TOTAL FUND 93 REVENUES ***</t>
  </si>
  <si>
    <t>*** TOTAL FUND 94 REVENUES ***</t>
  </si>
  <si>
    <t>*** TOTAL FUND 96 REVENUES ***</t>
  </si>
  <si>
    <t>*** TOTAL FUND 97 REVENUES ***</t>
  </si>
  <si>
    <t>SUMMED</t>
  </si>
  <si>
    <t>FORMULA</t>
  </si>
  <si>
    <t>FUND 55 REVENUE SUMMARY:</t>
  </si>
  <si>
    <t>TOTAL ALL REVENUES FUND 55</t>
  </si>
  <si>
    <t>*** TOTAL FUND 55 REVENUES ***</t>
  </si>
  <si>
    <t>250-UTILITY/COLLECTIONS PERSONNEL SERVICES:</t>
  </si>
  <si>
    <t>250-UTILITY/COLLECTIONS PERSONNEL SERVICES</t>
  </si>
  <si>
    <t>250-UTILITY/COLLECTIONS SUPPLIES:</t>
  </si>
  <si>
    <t>250-UTILITY/COLLECTIONS SUPPLIES</t>
  </si>
  <si>
    <t>250-UTILITY/COLLECTIONS OTHER SERVICES AND CHARGES:</t>
  </si>
  <si>
    <t>250-UTILITY/COLLECTIONS MAINTENANCE:</t>
  </si>
  <si>
    <t>250-UTILITY/COLLECTIONS MAINTENANCE</t>
  </si>
  <si>
    <t>250-UTILITY/COLLECTIONS CAPITAL OUTLAY:</t>
  </si>
  <si>
    <t>250-UTILITY/COLLECTIONS CAPITAL OUTLAY</t>
  </si>
  <si>
    <t>FUND 20 REVENUES:</t>
  </si>
  <si>
    <t>251-WATER/WASTEWATER COLLECTION</t>
  </si>
  <si>
    <t>251-WATER/WASTEWATER COLLECTION PERSONNEL SERVICES:</t>
  </si>
  <si>
    <t>251-WATER/WASTEWATER COLLECTION SUPPLIES:</t>
  </si>
  <si>
    <t>251-WATER/WASTEWATER COLLECTION SUPPLIES</t>
  </si>
  <si>
    <t>251-WATER/WASTEWATER COLLECTION OTHER SERVICES AND CHARGES:</t>
  </si>
  <si>
    <t>251-WATER/WASTEWATER COLLECTION MAINTENANCE:</t>
  </si>
  <si>
    <t>251-WATER/WASTEWATER COLLECTION CAPITAL OUTLAY:</t>
  </si>
  <si>
    <t>252-WASTEWATER TREATMENT PLANT PERSONNEL SERVICES:</t>
  </si>
  <si>
    <t xml:space="preserve">252-WASTEWATER TREATMENT PLANT </t>
  </si>
  <si>
    <t>252-WASTEWATER TREATMENT PLANT SUPPLIES:</t>
  </si>
  <si>
    <t>252-WASTEWATER TREATMENT PLANT SUPPLIES</t>
  </si>
  <si>
    <t>252-WASTEWATER TREATMENT PLANT OTHER SERVICES AND CHARGES:</t>
  </si>
  <si>
    <t>252-WASTEWATER TREATMENT PLANT MAINTENANCE:</t>
  </si>
  <si>
    <t>252-WASTEWATER TREATMENT PLANT CAPITAL OUTLAY:</t>
  </si>
  <si>
    <t>253-LANDFILL/SANITATION PERSONNEL SERVICES:</t>
  </si>
  <si>
    <t>253-LANDFILL/SANITATION PERSONNEL SERVICES</t>
  </si>
  <si>
    <t>253-LANDFILL/SANITATION SUPPLIES:</t>
  </si>
  <si>
    <t>253-LANDFILL/SANITATION SUPPLIES</t>
  </si>
  <si>
    <t>253-LANDFILL/SANITATION SERVICES AND CHARGES:</t>
  </si>
  <si>
    <t>253-LANDFILL/SANITATION MAINTENANCE:</t>
  </si>
  <si>
    <t>253-LANDFILL/SANITATION MAINTENANCE</t>
  </si>
  <si>
    <t>253-LANDFILL/SANITATION CAPITAL OUTLAY:</t>
  </si>
  <si>
    <t>253-LANDFILL/SANITATION CAPITAL OUTLAY</t>
  </si>
  <si>
    <t>259-SPECIAL ITEMS PERSONNEL SERVICES:</t>
  </si>
  <si>
    <t>259-SPECIAL ITEMS PERSONNEL SERVICES</t>
  </si>
  <si>
    <t>259-SPECIAL ITEMS SUPPLIES:</t>
  </si>
  <si>
    <t>259-SPECIAL ITEMS SUPPLIES</t>
  </si>
  <si>
    <t>259-SPECIAL ITEMS OTHER SERVICES AND CHARGES:</t>
  </si>
  <si>
    <t>259-SPECIAL ITEMS OTHER SERVICES AND CHARGES</t>
  </si>
  <si>
    <t>259-SPECIAL ITEMS MAINTENANCE:</t>
  </si>
  <si>
    <t>259-SPECIAL ITEMS MAINTENANCE</t>
  </si>
  <si>
    <t>260-DEBT SERVICE SUPPLIES:</t>
  </si>
  <si>
    <t>260-DEBT SERVICE SUPPLIES</t>
  </si>
  <si>
    <t>260-DEBT SERVICE  7 NOT USED</t>
  </si>
  <si>
    <t>259-SPECIAL ITEMS  7 NOT USED</t>
  </si>
  <si>
    <t>265-METER DEPOSITS SUPPLIES:</t>
  </si>
  <si>
    <t>265-METER DEPOSITS SUPPLIES</t>
  </si>
  <si>
    <t>265-METER DEPOSITS OTHER SERVICES AND CHARGES:</t>
  </si>
  <si>
    <t>FUND 40 GRANTS REVENUE SUMMARY:</t>
  </si>
  <si>
    <t xml:space="preserve">TOTAL ALL REVENUES FUND 40 GRANTS </t>
  </si>
  <si>
    <t>GRANTS FUND EXPENDITURE SUMMARY:</t>
  </si>
  <si>
    <t>*** TOTAL FUND 40 GRANTS REVENUES ***</t>
  </si>
  <si>
    <t>120-POLICE DEPARTMENT GRANTS</t>
  </si>
  <si>
    <t>TOTAL 120-POLICE DEPARTMENT GRANTS</t>
  </si>
  <si>
    <t>121-FIRE DEPARTMENT GRANTS</t>
  </si>
  <si>
    <t>TOTAL 121-FIRE DEPARTMENT GRANTS</t>
  </si>
  <si>
    <t>125-AMBULANCE/EMS GRANTS</t>
  </si>
  <si>
    <t>TOTAL 125-AMBULANCE/EMS GRANTS</t>
  </si>
  <si>
    <t>130-CODE ENFORCEMENT GRANTS</t>
  </si>
  <si>
    <t>TOTAL 130-CODE ENFORCEMENT GRANTS</t>
  </si>
  <si>
    <t>*** TOTAL FUND 40 GRANTS EXPENSES ***</t>
  </si>
  <si>
    <t>40 -GRANTS - INTEREST BEARING</t>
  </si>
  <si>
    <t>41 -GRANTS - NON-INTEREST BEARING</t>
  </si>
  <si>
    <t>42 -TEXAS CAPITAL FUND</t>
  </si>
  <si>
    <t>50 -WW,SEWER,DWSRF DEBT SERVICE</t>
  </si>
  <si>
    <t>52 -FIRE STATION, POOL BONDS</t>
  </si>
  <si>
    <t>55 -LONG TERM DEBT</t>
  </si>
  <si>
    <t>60 -PERPETUAL CARE</t>
  </si>
  <si>
    <t>70 -PARK CONTRIBUTIONS</t>
  </si>
  <si>
    <t>75 -MAIN STREET</t>
  </si>
  <si>
    <t>80 -ELECTRIC TRUST PRINCIPLE</t>
  </si>
  <si>
    <t>81 -CHRISTMAS DECORATIONS FND</t>
  </si>
  <si>
    <t>82 -SEIZURES FUND</t>
  </si>
  <si>
    <t>83 -CRIME FUND</t>
  </si>
  <si>
    <t>84 -VOLUNTEER FIREMAN FUND</t>
  </si>
  <si>
    <t>85 -BENEVOLENCE FUND</t>
  </si>
  <si>
    <t>86 -CHRISTMAS CLUB EMP ACCT</t>
  </si>
  <si>
    <t>90 -ELECTRIC TRUST EXPENSE</t>
  </si>
  <si>
    <t>91 -TDCP PROJECTS</t>
  </si>
  <si>
    <t>92 -EMPLOYEE BENEFIT TRUST</t>
  </si>
  <si>
    <t>93 -WORKERS COMPENSATION</t>
  </si>
  <si>
    <t>94 -SRF CONSTRUCTION ESCROW</t>
  </si>
  <si>
    <t>96 -2009 WATER SYSTEM UPGRADE</t>
  </si>
  <si>
    <t>10 -GENERAL FUND</t>
  </si>
  <si>
    <t>20 -UTILITY FUND</t>
  </si>
  <si>
    <t>25 -DRINKING WATER SRF FUND</t>
  </si>
  <si>
    <t>30 -HOTEL/MOTEL TAX FUND</t>
  </si>
  <si>
    <t>FUND 10 REVENUE SUMMARY:</t>
  </si>
  <si>
    <t>PERSONNEL</t>
  </si>
  <si>
    <t>NU CATEGORY</t>
  </si>
  <si>
    <t>130-CODE ENFORCEMENT GRANT</t>
  </si>
  <si>
    <t>DEBT SERVICE PAYMENTS</t>
  </si>
  <si>
    <t>TRANSFERS</t>
  </si>
  <si>
    <t>PROPOSED BUDGET</t>
  </si>
  <si>
    <t>COMMENTS</t>
  </si>
  <si>
    <t>Fund</t>
  </si>
  <si>
    <t>GRANTS - NON-INTEREST BEARING</t>
  </si>
  <si>
    <t>TEXAS CAPITAL FUND</t>
  </si>
  <si>
    <t>GRANTS - INTEREST BEARING</t>
  </si>
  <si>
    <t>UTILITY FUND</t>
  </si>
  <si>
    <t>GENERAL FUND</t>
  </si>
  <si>
    <t>FUND NAME</t>
  </si>
  <si>
    <t>DEPT</t>
  </si>
  <si>
    <t>DIRECTOR</t>
  </si>
  <si>
    <t>Anne</t>
  </si>
  <si>
    <t>imported to</t>
  </si>
  <si>
    <t>Main File?</t>
  </si>
  <si>
    <t>N/A</t>
  </si>
  <si>
    <t>Mitch</t>
  </si>
  <si>
    <t>Linda</t>
  </si>
  <si>
    <t>Bob</t>
  </si>
  <si>
    <t>Tom</t>
  </si>
  <si>
    <t>Kent</t>
  </si>
  <si>
    <t>Judge / Mitch</t>
  </si>
  <si>
    <t>Monica</t>
  </si>
  <si>
    <t>Dan</t>
  </si>
  <si>
    <t>Directors,</t>
  </si>
  <si>
    <t>Thanks!</t>
  </si>
  <si>
    <t>Only enter your budget request in yellow cells!       It will calculate for you!</t>
  </si>
  <si>
    <t xml:space="preserve">         EX:  Fund.Dept.5565 Capital - Instruments &amp; Appar </t>
  </si>
  <si>
    <t xml:space="preserve">         EX:  Fund.Dept.5565.REF  Capital - Instruments &amp; Appar </t>
  </si>
  <si>
    <t xml:space="preserve">         EX:  $20K for radios, Federal Mandate by Feb 2012</t>
  </si>
  <si>
    <t>Do not add any new line items without emailing Anne  (or you risk voiding the calculating formulas)</t>
  </si>
  <si>
    <t>DATE OF</t>
  </si>
  <si>
    <t>COMLETION</t>
  </si>
  <si>
    <t>OPERATIONAL AND CAPITAL ASSET REQUEST FORM</t>
  </si>
  <si>
    <t>Fund Name</t>
  </si>
  <si>
    <t>Estimated Cost</t>
  </si>
  <si>
    <t>Lease to Obtain</t>
  </si>
  <si>
    <t>Fund #</t>
  </si>
  <si>
    <t>Dept #</t>
  </si>
  <si>
    <t>Account #</t>
  </si>
  <si>
    <t>Amount</t>
  </si>
  <si>
    <t>5565.REF</t>
  </si>
  <si>
    <t>Type of Request</t>
  </si>
  <si>
    <t>Capital / Operational Increase</t>
  </si>
  <si>
    <t>Variance</t>
  </si>
  <si>
    <t>Description</t>
  </si>
  <si>
    <t>Cost Justification</t>
  </si>
  <si>
    <t>Budget Line:</t>
  </si>
  <si>
    <t>enter as negative</t>
  </si>
  <si>
    <t xml:space="preserve">Down Payment </t>
  </si>
  <si>
    <t xml:space="preserve">Department Priority # </t>
  </si>
  <si>
    <t xml:space="preserve">Department Name </t>
  </si>
  <si>
    <t>Total Budget Impact</t>
  </si>
  <si>
    <t>If you wish to look at spending history, scroll left.</t>
  </si>
  <si>
    <r>
      <t xml:space="preserve">Below is an assignment grid.  You can find your budgets sorted by Fund, then by Department on the </t>
    </r>
    <r>
      <rPr>
        <u/>
        <sz val="9"/>
        <color indexed="8"/>
        <rFont val="Arial"/>
        <family val="2"/>
      </rPr>
      <t>2nd tab.</t>
    </r>
  </si>
  <si>
    <t>Only enter WHOLE numbers   (no decimals)</t>
  </si>
  <si>
    <t>Only enter into yellow cells</t>
  </si>
  <si>
    <t>Any additional instructions for Anne</t>
  </si>
  <si>
    <t xml:space="preserve">AKA "The Green Sheet" </t>
  </si>
  <si>
    <t xml:space="preserve">For line item increases &gt;= 10%    OR   capital requests &gt;= $5K </t>
  </si>
  <si>
    <t>Do not enter Personnel costs at this time</t>
  </si>
  <si>
    <r>
      <t xml:space="preserve">Inflate your line items by the </t>
    </r>
    <r>
      <rPr>
        <u/>
        <sz val="9"/>
        <color indexed="8"/>
        <rFont val="Arial"/>
        <family val="2"/>
      </rPr>
      <t>enhanced program request amounts</t>
    </r>
  </si>
  <si>
    <r>
      <rPr>
        <u/>
        <sz val="9"/>
        <color indexed="8"/>
        <rFont val="Arial"/>
        <family val="2"/>
      </rPr>
      <t>OPERATIONAL AND CAPITAL ASSET REQUEST FORM</t>
    </r>
    <r>
      <rPr>
        <sz val="9"/>
        <color indexed="8"/>
        <rFont val="Arial"/>
        <family val="2"/>
      </rPr>
      <t xml:space="preserve"> included in </t>
    </r>
    <r>
      <rPr>
        <u/>
        <sz val="9"/>
        <color indexed="8"/>
        <rFont val="Arial"/>
        <family val="2"/>
      </rPr>
      <t>Form tab</t>
    </r>
  </si>
  <si>
    <t>If you are requesting capital items (vehicle, etc.) talk to Mitch first</t>
  </si>
  <si>
    <t>Per Auditor, we budget full cost as a positive and lease reimbursement as negative</t>
  </si>
  <si>
    <t>Enter a short description in the adjacent Comments cell</t>
  </si>
  <si>
    <t>If you are not funded for the enhanced program, Anne will lower your Department budget later</t>
  </si>
  <si>
    <t>When you are finished entering your data, please come back to this tab and put completion date in this column</t>
  </si>
  <si>
    <t>There is also a free form yellow area at the bottom for any specific instructions to Anne</t>
  </si>
  <si>
    <t>Last Step: Save the file and email back to Anne for her to merge data into Main File</t>
  </si>
  <si>
    <t xml:space="preserve">                 (You can type longer than the cell allows if needed)</t>
  </si>
  <si>
    <t>12/13</t>
  </si>
  <si>
    <t>4.30.12</t>
  </si>
  <si>
    <t>5160-5113</t>
  </si>
  <si>
    <t>5160-5217</t>
  </si>
  <si>
    <t>5160-5230</t>
  </si>
  <si>
    <t>5160-5467</t>
  </si>
  <si>
    <t>5251-5305.WTR</t>
  </si>
  <si>
    <t>BULK WATER PURCHASE</t>
  </si>
  <si>
    <t>2011 CHAPMAN TREE GRANT</t>
  </si>
  <si>
    <t>2012 RAC EMS GRANT</t>
  </si>
  <si>
    <t>FIRE WALMART DONATION</t>
  </si>
  <si>
    <t>2010 TIFMAS TRNG FIRE GRANT</t>
  </si>
  <si>
    <t>2010 TXDOT-IDM POLICE GRANT</t>
  </si>
  <si>
    <t>2012 CIOT TXDOT POLICE GRANT</t>
  </si>
  <si>
    <t>5121-5000.WM</t>
  </si>
  <si>
    <t>5120-5012.CIT</t>
  </si>
  <si>
    <t>5120-5010.IDM</t>
  </si>
  <si>
    <t>GRANT REV: MATCHING FUNDS</t>
  </si>
  <si>
    <t>INTEREST INCOME ON BDC MATCH</t>
  </si>
  <si>
    <t>4130.000</t>
  </si>
  <si>
    <t>4130.002</t>
  </si>
  <si>
    <t>4130.004</t>
  </si>
  <si>
    <t>4130.005</t>
  </si>
  <si>
    <t>4130.009</t>
  </si>
  <si>
    <t>4130.010</t>
  </si>
  <si>
    <t>4130.94</t>
  </si>
  <si>
    <t>4130.96</t>
  </si>
  <si>
    <t>4330</t>
  </si>
  <si>
    <t>TRANSFER FROM ENTERPRISE-02</t>
  </si>
  <si>
    <t>TRANSFER FROM ENTERPRISE-04</t>
  </si>
  <si>
    <t>TRANSFER FROM ENTERPRISE-05</t>
  </si>
  <si>
    <t>TRANSFER FROM ENTERPRISE-09</t>
  </si>
  <si>
    <t>TRANSFER FROM ENTERPRISE-10</t>
  </si>
  <si>
    <t>INTEREST - 2002 CO</t>
  </si>
  <si>
    <t>INTEREST - 2004 CO</t>
  </si>
  <si>
    <t>INTEREST - 2005 CO</t>
  </si>
  <si>
    <t>PRINCIPAL - 2002 CO</t>
  </si>
  <si>
    <t>PRINCIPAL - 2004 CO</t>
  </si>
  <si>
    <t>PRINCIPAL - 2005 CO</t>
  </si>
  <si>
    <t>5000-5610.004</t>
  </si>
  <si>
    <t>5000-5620.004</t>
  </si>
  <si>
    <t>4310.LOC</t>
  </si>
  <si>
    <t>AQUATIC CTR - LINE OF CREDIT</t>
  </si>
  <si>
    <t>NOT USED</t>
  </si>
  <si>
    <t>5000-5555</t>
  </si>
  <si>
    <t>TOTAL TRANSFERS</t>
  </si>
  <si>
    <t>4900.EAS</t>
  </si>
  <si>
    <t>EASEMENT OF PARK LAND</t>
  </si>
  <si>
    <t>SPECIFIED DONATION REVENUE</t>
  </si>
  <si>
    <t>5000-5305</t>
  </si>
  <si>
    <t>FRANCHISE ESCROW REVENUE</t>
  </si>
  <si>
    <t>TRANF FROM STREET ASSESSMENTS</t>
  </si>
  <si>
    <t>ADMIN FEES - COURT</t>
  </si>
  <si>
    <t>SPECIAL EXPENSE FEES - COURT</t>
  </si>
  <si>
    <t>COMMUNITY EDUCATION REVENUE</t>
  </si>
  <si>
    <t>FUNDS PAID OUT OF COM ED REV</t>
  </si>
  <si>
    <t>AQUATIC CTR INCOME</t>
  </si>
  <si>
    <t>AQUATIC CTR PASSES</t>
  </si>
  <si>
    <t>AQUATIC CTR GATE FEES</t>
  </si>
  <si>
    <t>AQUATIC CTR RENTALS</t>
  </si>
  <si>
    <t>AQUATIC CTR CONCESSIONS</t>
  </si>
  <si>
    <t>AQUATIC CTR REFUND</t>
  </si>
  <si>
    <t>IN-LIEU AD VALOREM TAX-ENTERPR</t>
  </si>
  <si>
    <t>MAIN STREET TRANSFER IN</t>
  </si>
  <si>
    <t>4150.ADM</t>
  </si>
  <si>
    <t>4150.SPX</t>
  </si>
  <si>
    <t>4220.REF</t>
  </si>
  <si>
    <t>4310.REF</t>
  </si>
  <si>
    <t>VEHICLE MAINT SUPPLIES-REFUND</t>
  </si>
  <si>
    <t>COMPENSATED ABSENCES</t>
  </si>
  <si>
    <t>IN-LIEU AD VALOREM TAX</t>
  </si>
  <si>
    <t>TRANSFER TO DEBT SERVICE</t>
  </si>
  <si>
    <t>A ROYAL VISIT</t>
  </si>
  <si>
    <t>COWBOY CHRISTMAS RANCH RODEO</t>
  </si>
  <si>
    <t>NIGHTMARE ON MAIN STREET</t>
  </si>
  <si>
    <t>RED RIVER BBQ BATTLE</t>
  </si>
  <si>
    <t>RRV OLE TIME MUSIC FESTIVAL</t>
  </si>
  <si>
    <t>UNSCHEDULED EVENTS</t>
  </si>
  <si>
    <t>5000-5355.586</t>
  </si>
  <si>
    <t>5000-5355.587</t>
  </si>
  <si>
    <t>5000-5355.588</t>
  </si>
  <si>
    <t>5000-5355.589</t>
  </si>
  <si>
    <t>5000-5355.590</t>
  </si>
  <si>
    <t>5000-5355.653</t>
  </si>
  <si>
    <t>DONATIONS - LYDAY PARK</t>
  </si>
  <si>
    <t>4990.LYD</t>
  </si>
  <si>
    <t>5130-5011.CHP</t>
  </si>
  <si>
    <t>5125-5012.RAC</t>
  </si>
  <si>
    <t>EXPENDITURES-CHRISTMAS CLUB</t>
  </si>
  <si>
    <t>TRANSFER OUT FROM SRF94</t>
  </si>
  <si>
    <t>000-PERPETUAL CARE</t>
  </si>
  <si>
    <t>128-PURCHASING OTHER SERVICES AND CHARGES</t>
  </si>
  <si>
    <t>128-PURCHASING CAPITAL OUTLAY</t>
  </si>
  <si>
    <t>128-PURCHASING MAINTENANCE</t>
  </si>
  <si>
    <t>2011.05.14</t>
  </si>
  <si>
    <t>FY 2012-2013</t>
  </si>
  <si>
    <t>1-</t>
  </si>
  <si>
    <t>Directions in the 'Director Instructions' tab</t>
  </si>
  <si>
    <t>2-</t>
  </si>
  <si>
    <t xml:space="preserve">Directors should only update yellow cells for </t>
  </si>
  <si>
    <t>ESTIMATED 12 MOS EXP</t>
  </si>
  <si>
    <t>PROPOSED BUDGET COMMENTS</t>
  </si>
  <si>
    <t>3-</t>
  </si>
  <si>
    <t>Data Entry in the 'FY 12.13 Budget Request' tab</t>
  </si>
  <si>
    <t xml:space="preserve">OPERATIONAL AND CAPITAL ASSET REQUEST FORM </t>
  </si>
  <si>
    <t>(aka Green Sheet) in the 'Form' tab</t>
  </si>
  <si>
    <t xml:space="preserve">  </t>
  </si>
  <si>
    <t>Attached are Budget Worksheets for FY 2012.13 Budget Requests.</t>
  </si>
  <si>
    <t>There are 3 tabs, the same as last year:</t>
  </si>
  <si>
    <t>We need to check on this</t>
  </si>
  <si>
    <t>Looks off?</t>
  </si>
  <si>
    <t>3%?</t>
  </si>
  <si>
    <t>chair</t>
  </si>
  <si>
    <t>Anne- Check on this please.</t>
  </si>
  <si>
    <t>paperless agendas</t>
  </si>
  <si>
    <t>Printer cartriges</t>
  </si>
  <si>
    <t>06/18/2012  9:18:00 AM</t>
  </si>
  <si>
    <t>MAY 2012</t>
  </si>
  <si>
    <t>AS OF: MAY 31ST, 2012</t>
  </si>
  <si>
    <t>ANNUAL</t>
  </si>
  <si>
    <t>CURRENT</t>
  </si>
  <si>
    <t>LINECOUNTER</t>
  </si>
  <si>
    <t>FUND</t>
  </si>
  <si>
    <t>PERIOD</t>
  </si>
  <si>
    <t>% OF BUDGET</t>
  </si>
  <si>
    <t>REVENUE SUMMARY</t>
  </si>
  <si>
    <t>---------------</t>
  </si>
  <si>
    <t>ALL REVENUE</t>
  </si>
  <si>
    <t>*** TOTAL REVENUES ***</t>
  </si>
  <si>
    <t>EXPENDITURE SUMMARY</t>
  </si>
  <si>
    <t>-------------------</t>
  </si>
  <si>
    <t>124-SWIMMING POOL</t>
  </si>
  <si>
    <t>130-CODE ENFORCEMENT</t>
  </si>
  <si>
    <t>*** TOTAL EXPENDITURES ***</t>
  </si>
  <si>
    <t>*** REVENUES OVER/(UNDER) EXPENDITURES ***</t>
  </si>
  <si>
    <t>*** TOTAL REVENUE ***</t>
  </si>
  <si>
    <t>PERSONNEL SERVICES</t>
  </si>
  <si>
    <t>------------------</t>
  </si>
  <si>
    <t>TOTAL</t>
  </si>
  <si>
    <t>--------</t>
  </si>
  <si>
    <t>110-BUSINESS DEVELOPMENT CORP</t>
  </si>
  <si>
    <t>-------------------------</t>
  </si>
  <si>
    <t>-----------</t>
  </si>
  <si>
    <t>--------------</t>
  </si>
  <si>
    <t>5160-5105</t>
  </si>
  <si>
    <t>*** END OF REPORT ***</t>
  </si>
  <si>
    <t>251-WATER/WASTEWATER COLLECTIO</t>
  </si>
  <si>
    <t>252-WASTEWATER TREATMENT PLANT</t>
  </si>
  <si>
    <t>7 NOT USED</t>
  </si>
  <si>
    <t>----------</t>
  </si>
  <si>
    <t>5000-5358.400</t>
  </si>
  <si>
    <t>VERNON MAIN STREET PROGRAM</t>
  </si>
  <si>
    <t>4990.CJD</t>
  </si>
  <si>
    <t>CRIMINAL JUSTICE GRANT</t>
  </si>
  <si>
    <t>0 NOT USED</t>
  </si>
  <si>
    <t>5120-5012.CJD</t>
  </si>
  <si>
    <t>CJD GRANT - PERSONAL VIDEO CAM</t>
  </si>
  <si>
    <t>5121-5011.SHS</t>
  </si>
  <si>
    <t>2011 SHSP POLICE GRANT</t>
  </si>
  <si>
    <t>5130-5010.SRB</t>
  </si>
  <si>
    <t>9 NOT USED</t>
  </si>
  <si>
    <t>6 NOT USED</t>
  </si>
  <si>
    <t>RECEIPTS-FIREMEN RELIEF</t>
  </si>
  <si>
    <t>EXPENDITURES-FIREMEN RELIEF</t>
  </si>
  <si>
    <t>8 NOT USED</t>
  </si>
  <si>
    <t>65 - RETIREMENT RELIEF &amp; RETIREMENT</t>
  </si>
  <si>
    <t>FUND 65 REVENUE SUMMARY:</t>
  </si>
  <si>
    <t>TOTAL ALL REVENUES FUND 65</t>
  </si>
  <si>
    <t>*** TOTAL FUND 65 REVENUES ***</t>
  </si>
  <si>
    <t>*** TOTAL FUND 65 EXPENSES ***</t>
  </si>
  <si>
    <t>*** FUND 65 REVENUES OVER(UNDER) EXPENSES ***</t>
  </si>
  <si>
    <t>Is the Taurus assigned to Main Street Dept.?  If so, I should budget for it.</t>
  </si>
  <si>
    <t>exam prep</t>
  </si>
  <si>
    <t>I think this is where Bob pays Robert for mowing.  Need to talk about this.</t>
  </si>
  <si>
    <t>cost increase</t>
  </si>
  <si>
    <t>sane kits/ wrecker bills</t>
  </si>
  <si>
    <t>freight on evidence sent</t>
  </si>
  <si>
    <t>depends on amount of low cost and free training available</t>
  </si>
  <si>
    <t>elevator maintenance agreement (3500)</t>
  </si>
  <si>
    <t xml:space="preserve">increase on server backup </t>
  </si>
  <si>
    <t xml:space="preserve">(2) in car cameras </t>
  </si>
  <si>
    <t>General</t>
  </si>
  <si>
    <t>119-Garage</t>
  </si>
  <si>
    <t>Operational Increase</t>
  </si>
  <si>
    <t>Grit Trap Cleaning</t>
  </si>
  <si>
    <t xml:space="preserve">Grit trap in wash bay will have to be contracted out to be emptied. </t>
  </si>
  <si>
    <t>5120-</t>
  </si>
  <si>
    <t>Police -120</t>
  </si>
  <si>
    <t>Salary increase for Police Department Personnel</t>
  </si>
  <si>
    <t>The employees of the Police Deaprtment have not had a significant pay increase in over three years.</t>
  </si>
  <si>
    <t xml:space="preserve">The   only increase  has been the step increase. It is my belief that in order to maintain the current </t>
  </si>
  <si>
    <t xml:space="preserve">work force and to attract quality replacements the base pay needs to increase. I have attached a </t>
  </si>
  <si>
    <t>table with the salaries from towns with approximately the same population as Vernon. This document</t>
  </si>
  <si>
    <t xml:space="preserve"> points out that Vernon's salaries are below the majority of these towns. The amount of the proposed </t>
  </si>
  <si>
    <t xml:space="preserve">salary increases will still have Vernon ranked below the majority of these sample towns but the </t>
  </si>
  <si>
    <t xml:space="preserve">increases will help keep and attract quality and valued employees. </t>
  </si>
  <si>
    <t>Police Department</t>
  </si>
  <si>
    <t>Animal Control Vehicle</t>
  </si>
  <si>
    <t xml:space="preserve">The current vehicle used as animal control has 113488 miles. The vehicle needs to  be replaced due </t>
  </si>
  <si>
    <t xml:space="preserve">constant repairs and maintenance costs. The vehicle is a 1993 Chevy pickup. </t>
  </si>
  <si>
    <t>Patrol Vehicle</t>
  </si>
  <si>
    <t xml:space="preserve">Replace patrol vehicle # 211 a 2007 Ford Crown Vic with 72733 miles. This vehicle is beginning to </t>
  </si>
  <si>
    <t>show signs of transmission problems and engine wear.</t>
  </si>
  <si>
    <t>Police Deprtment</t>
  </si>
  <si>
    <t>emergency equipment for patrol vehicle</t>
  </si>
  <si>
    <t>Added  emergency equipment for patrol vehicle to make patrol ready</t>
  </si>
  <si>
    <t xml:space="preserve">10% increase </t>
  </si>
  <si>
    <t>Employees dues and new liceses to spray</t>
  </si>
  <si>
    <t xml:space="preserve">Storm sewers around the city needs to be rplaced or repaired </t>
  </si>
  <si>
    <t>10% Increase</t>
  </si>
  <si>
    <t>increase 10%</t>
  </si>
  <si>
    <t>Concession Stand</t>
  </si>
  <si>
    <t>New Swimsuits if misplaced or need size change.</t>
  </si>
  <si>
    <t>Fall Material</t>
  </si>
  <si>
    <t>Allingham Park Walking Path</t>
  </si>
  <si>
    <t>Vinyl cutter plotter</t>
  </si>
  <si>
    <t xml:space="preserve">TWUA meeting / working around the clock  </t>
  </si>
  <si>
    <t xml:space="preserve">Extra leaks transmission line </t>
  </si>
  <si>
    <t>Pumps &amp; Motors increased in price</t>
  </si>
  <si>
    <t>Heavy Duty Equipment Trailer</t>
  </si>
  <si>
    <t>Health - 116</t>
  </si>
  <si>
    <t>Dues &amp; Licenses</t>
  </si>
  <si>
    <t>Dues and licenses which is needed to spray for mosquito.</t>
  </si>
  <si>
    <t>Capital Increase</t>
  </si>
  <si>
    <t>Fuel</t>
  </si>
  <si>
    <t>Fuel increase by 10% for future prices</t>
  </si>
  <si>
    <t>Capital</t>
  </si>
  <si>
    <t>Clarke Mosquito Spraying Machine</t>
  </si>
  <si>
    <t xml:space="preserve">The mosquito sprayer which is being used at this time is over 25 yrs old, and when it breaks down </t>
  </si>
  <si>
    <t>parts are hard to find and or obsolete.</t>
  </si>
  <si>
    <t xml:space="preserve">This new machine has a smartflow control system exclusively from clarke mosquito control an </t>
  </si>
  <si>
    <t>unprecedented level of accuracy and precision and can be used in a tandem with radar ground speed</t>
  </si>
  <si>
    <t xml:space="preserve">sensors or gps for variable flow. With one step calibration and three pre- programmed rates, the </t>
  </si>
  <si>
    <t>smart flow can adapt quickly to varying field conditions.</t>
  </si>
  <si>
    <t xml:space="preserve">General </t>
  </si>
  <si>
    <t>Street - 118</t>
  </si>
  <si>
    <t>Increase fuel</t>
  </si>
  <si>
    <t>Fuel increase 10% for future prices of fuel.</t>
  </si>
  <si>
    <t xml:space="preserve">Operational Increase </t>
  </si>
  <si>
    <t>Street Signs</t>
  </si>
  <si>
    <t>Federal street sign mandate, by Jan 2015 - All regulatory, warning, and guide signs must be reflective</t>
  </si>
  <si>
    <t>All school signs currently being used are mostly non reflectiveand are more than 25 yrs old</t>
  </si>
  <si>
    <t>Street sign names must be of a minimum 9" height.</t>
  </si>
  <si>
    <t xml:space="preserve">Street - 118 </t>
  </si>
  <si>
    <t>Materials</t>
  </si>
  <si>
    <t>Extra materials will be needed for the following yr. to maintain roads and make better roads with the</t>
  </si>
  <si>
    <t>use of the new asphalt zipper.</t>
  </si>
  <si>
    <t>Street -118</t>
  </si>
  <si>
    <t>Storm Sewers</t>
  </si>
  <si>
    <t xml:space="preserve">To repair or replace storm sewers that are falling apart due to age. </t>
  </si>
  <si>
    <t>Garage  - 119</t>
  </si>
  <si>
    <t>Incease fuel 10% for future prices</t>
  </si>
  <si>
    <t>Cemetery</t>
  </si>
  <si>
    <t>Increase 10% for future prices</t>
  </si>
  <si>
    <t>John Deere Riding Mower</t>
  </si>
  <si>
    <t>If approved this new rider mower will replace the 1999 model mower that is being used now.</t>
  </si>
  <si>
    <t xml:space="preserve">When this unit is down it's down for long periods of time due to parts being hard to find or being </t>
  </si>
  <si>
    <t>obsolete.</t>
  </si>
  <si>
    <t>The new John Deere is a 60" . 7 iron II Commercial side discharge mower deck.</t>
  </si>
  <si>
    <t xml:space="preserve">Aquatic Center </t>
  </si>
  <si>
    <t>Food Supplies</t>
  </si>
  <si>
    <t>Food Supplies for concession stand.</t>
  </si>
  <si>
    <t>Aquatic Center</t>
  </si>
  <si>
    <t>Wearing Apparel</t>
  </si>
  <si>
    <t>New lifeguard swimming suits if misplaced or need a size change.</t>
  </si>
  <si>
    <t>Botanical &amp; Agriculture</t>
  </si>
  <si>
    <t>Grass, plants for the outside of the pool fence.</t>
  </si>
  <si>
    <t>Park - 126</t>
  </si>
  <si>
    <t>Fuel increase by 10% for future prices.</t>
  </si>
  <si>
    <t>Parks - 126</t>
  </si>
  <si>
    <t>The Kiddy cushions, wood chipped fall cushion, for the playground equipment at Allingham Park,</t>
  </si>
  <si>
    <t xml:space="preserve">have deteriorated and lost much of the wood chipsover the past few years that they are now not </t>
  </si>
  <si>
    <t>adequate for safely cushioning the fall of a child from the playground equipment.</t>
  </si>
  <si>
    <t xml:space="preserve">Capital </t>
  </si>
  <si>
    <t>This project would replace the old detriorating 4' wide concrete walking path on the southside of the</t>
  </si>
  <si>
    <t>park, with a new 6' wide handicap accessible walking path which would match the northside of the</t>
  </si>
  <si>
    <t xml:space="preserve">park. Currently the old walking path has numerous chunks missing and is unlevel. Part of the walking </t>
  </si>
  <si>
    <t>path could be a safety hazard from someone walking or running.</t>
  </si>
  <si>
    <t>Special Services Maintenance</t>
  </si>
  <si>
    <t>Vinyl Plotter</t>
  </si>
  <si>
    <t xml:space="preserve">The plotter would be used to make vehicle decals, street signs, and banners rather then paying a </t>
  </si>
  <si>
    <t xml:space="preserve">outside company . This </t>
  </si>
  <si>
    <t xml:space="preserve">This vinyl plotter would be used to replace banner which the city is using now </t>
  </si>
  <si>
    <t>if banner wears out , or tears.</t>
  </si>
  <si>
    <t>Utilities</t>
  </si>
  <si>
    <t>Water - 251</t>
  </si>
  <si>
    <t>A 10% increase of fuel for future prices.</t>
  </si>
  <si>
    <t xml:space="preserve">This request is made for the feeding of the Texas Water Utility Assocation meeting which is being </t>
  </si>
  <si>
    <t>held in Vernon in August.</t>
  </si>
  <si>
    <t>To feed employees and contractors while working around the clock repair main breaks.</t>
  </si>
  <si>
    <t>Water Works Mains</t>
  </si>
  <si>
    <t>For the repairs of water mains around the city and extra leaks on the transmission line .</t>
  </si>
  <si>
    <t xml:space="preserve">Water - 251 </t>
  </si>
  <si>
    <t>Water Wells</t>
  </si>
  <si>
    <t>The pumps and motors has gone up in price over the past year.</t>
  </si>
  <si>
    <t>Single Grade Laser Level</t>
  </si>
  <si>
    <t>The grade laser level will be used in the site preparation, trenching and pipe laying application</t>
  </si>
  <si>
    <t>with correct accuracy, without having to borrow, rent, or have a contractor do this type work.</t>
  </si>
  <si>
    <t>Trench Box</t>
  </si>
  <si>
    <t>This trench box would be used when the trench / hole becomes unsafe that are deeper than 5 foot.</t>
  </si>
  <si>
    <t>2013 Ford Explorer 2wd</t>
  </si>
  <si>
    <t>The new explorer will be utilized by the public works director, who currently utilizies a 2008 1/2 ton</t>
  </si>
  <si>
    <t>chevrolet, the 2008 1/2 ton will be used by the water production supervisor replacing a 2005 1/2 ton</t>
  </si>
  <si>
    <t xml:space="preserve">ford. The 2005 1/2 ton ford will be transferred to the garage where it will be used to go out into the </t>
  </si>
  <si>
    <t>field.</t>
  </si>
  <si>
    <t>Heavy duty equipment trailer will be used for hauling equipment to and from the job site to save wear</t>
  </si>
  <si>
    <t xml:space="preserve">and tear on the unit. This trailer will also be used to carry the equipment to a loacation for major </t>
  </si>
  <si>
    <t xml:space="preserve">repairs other than paying for the repairman to come to Vernon. The water department is frequently </t>
  </si>
  <si>
    <t xml:space="preserve">required to drive the backhoe on Hwy 283 up to 20 miles to repair water well pipeline leaks and </t>
  </si>
  <si>
    <t>rebuilding roads as they wash out. This trailer will be utilized in all departments in the public works</t>
  </si>
  <si>
    <t>division as needed.</t>
  </si>
  <si>
    <t>WWTP -252</t>
  </si>
  <si>
    <t>WWTP - 252</t>
  </si>
  <si>
    <t>Engineering Study</t>
  </si>
  <si>
    <t>This study will focus on the wastewater plant process to identify any operational improvements</t>
  </si>
  <si>
    <t xml:space="preserve">that can be implemented to improve the overall performance of the plant to be able to more efficiency </t>
  </si>
  <si>
    <t>handle phosphorus,</t>
  </si>
  <si>
    <t>bod, tss and fog.</t>
  </si>
  <si>
    <t>Utlities</t>
  </si>
  <si>
    <t>Upgrade and Rebuild the Farrell Wastewater Collection Lift Station</t>
  </si>
  <si>
    <t>This project will provide new 3Hp pumps to replace the old worn out 1Hp pumps that fail, The control</t>
  </si>
  <si>
    <t>systemand panel will also be replaced along with removing the old mercury level switches, which will</t>
  </si>
  <si>
    <t>be replaced with a float control system.</t>
  </si>
  <si>
    <t>Incresed due to fuel costs and rising number of EMS transfers.</t>
  </si>
  <si>
    <t>Increased due to one older EMS unit needing more repairs.</t>
  </si>
  <si>
    <t>Increased due to level of service raised.</t>
  </si>
  <si>
    <t>Incresed due to lease and filling of O2 cylinders coming solely from this account.</t>
  </si>
  <si>
    <t>Increased due to one older EMS unit requiring more repoairs.</t>
  </si>
  <si>
    <t>125-5567</t>
  </si>
  <si>
    <t>EMS</t>
  </si>
  <si>
    <t>2012 Frazer Type I with gasoline chasis</t>
  </si>
  <si>
    <t xml:space="preserve">Currently have a 2004 model EMS unit with over 98,000 miles. We are starting to have some issues </t>
  </si>
  <si>
    <t xml:space="preserve">with this unit and feel it needs replaced before a major breakdown occurs.  Also, in Jan. 2013 the </t>
  </si>
  <si>
    <t xml:space="preserve">NFPA rules will go into effect for all EMS units.   From information obtained this will raise costs </t>
  </si>
  <si>
    <t xml:space="preserve">10-15%.  If we submit a purchase request before Jan. 2013 we will not be subject to the NFPA </t>
  </si>
  <si>
    <t>regulations.  Lookin to replace with gasoline chasis to reduce fuel costs.</t>
  </si>
  <si>
    <t>All foam pucrchased in this line item</t>
  </si>
  <si>
    <t>Reprogram pager for Narrowband Deadline Dec. 31, 2012</t>
  </si>
  <si>
    <t>Increase in TCFP Certification fees</t>
  </si>
  <si>
    <t>Continue Wildland PPE purchase program</t>
  </si>
  <si>
    <t>Purchase P25 radio equipment for 12/31/12 deadline</t>
  </si>
  <si>
    <t>FIRE</t>
  </si>
  <si>
    <t>SUV for Fire Marshal and vehicle for training travel</t>
  </si>
  <si>
    <t xml:space="preserve">The current vehicle used by the Fire Marshal is a 1999 F-150 pickup that was transferred from PW.  The FD does have a vehicle that can be taken out of town for training. </t>
  </si>
  <si>
    <t>from PW.</t>
  </si>
  <si>
    <t>The FD does not have a vehicle that can be used for travel to training course/conferences</t>
  </si>
  <si>
    <t>.</t>
  </si>
  <si>
    <t>This SUV would serve the FD as a dual purpose vehicle.</t>
  </si>
  <si>
    <t xml:space="preserve"> </t>
  </si>
  <si>
    <t>5567.REF</t>
  </si>
  <si>
    <t>P25 Communication Equipment</t>
  </si>
  <si>
    <t>All communication equipment must meet P25 standards by Dec. 31, 2012 per FCC.</t>
  </si>
  <si>
    <t>The FD requests to purchase seven (7) P25 Portable Radios which will allow the FD to meet the</t>
  </si>
  <si>
    <t>FCC requirements</t>
  </si>
  <si>
    <t>Reprogram pagers to narrowband per FCC regulations</t>
  </si>
  <si>
    <t>The FD requests funds to reprogram our pagers for narrowbanding thatwill allow the FD to meet the</t>
  </si>
  <si>
    <t>FCC requirements. Costs are $35 per pager (40 pagers).</t>
  </si>
  <si>
    <t>Grit Trap Mandate</t>
  </si>
  <si>
    <t>check closely</t>
  </si>
  <si>
    <t>Check??</t>
  </si>
  <si>
    <t>Pool</t>
  </si>
  <si>
    <t>Farrell Lift Station Upgrades (2009 B0nd)/ Repairing in gerneral repairs</t>
  </si>
  <si>
    <t>GISUpdates and Web QA</t>
  </si>
  <si>
    <t>Façade Update</t>
  </si>
  <si>
    <t>Permit license, cr Hist</t>
  </si>
  <si>
    <t>combine into 250</t>
  </si>
  <si>
    <t>fax</t>
  </si>
  <si>
    <t>Computer CCTV</t>
  </si>
  <si>
    <t>Signage , BP Glass, Panic Button.</t>
  </si>
  <si>
    <t>Expedition, Quint, Station Alarm</t>
  </si>
  <si>
    <t>10%+ (11.5%)</t>
  </si>
  <si>
    <t>check 12 mo. est</t>
  </si>
  <si>
    <t>131-BUILDINGS &amp; GROUNDS</t>
  </si>
  <si>
    <t>131-BUILDINGS &amp; GROUNDS PERSONNEL SERVICES:</t>
  </si>
  <si>
    <t>131-BUILDINGS &amp; GROUNDS PERSONNEL SERVICES</t>
  </si>
  <si>
    <t>131-BUILDINGS &amp; GROUNDS SUPPLIES:</t>
  </si>
  <si>
    <t>131-BUILDINGS &amp; GROUNDS SUPPLIES</t>
  </si>
  <si>
    <t>131-BUILDINGS &amp; GROUNDS OTHER SERVICES AND CHARGES:</t>
  </si>
  <si>
    <t>131-BUILDINGS &amp; GROUNDS OTHER SERVICES AND CHARGES</t>
  </si>
  <si>
    <t>131-BUILDINGS &amp; GROUNDS MAINTENANCE</t>
  </si>
  <si>
    <t>131-BUILDINGS &amp; GROUNDS CAPITAL OUTLAY:</t>
  </si>
  <si>
    <t>131-BUILDINGS &amp; GROUNDS CAPITAL OUTLAY</t>
  </si>
  <si>
    <t>TOTAL 131-BUILDINGS &amp; GROUNDS</t>
  </si>
  <si>
    <t>5116-5565.REF</t>
  </si>
  <si>
    <t xml:space="preserve">3,780 moved to F96 </t>
  </si>
  <si>
    <t>12.3K moved to F96 for single grade laser / trench box</t>
  </si>
  <si>
    <t>4691.REV</t>
  </si>
  <si>
    <t>4691.FAC</t>
  </si>
  <si>
    <t>REVOLVING LOAN FUND</t>
  </si>
  <si>
    <t>BEGINNING FUND BALANCE</t>
  </si>
  <si>
    <t>ENDING FUND BALANCE</t>
  </si>
  <si>
    <t>*** TOTAL FUND 94 EXPENSES ***</t>
  </si>
  <si>
    <t>5000-5305.REV</t>
  </si>
  <si>
    <t>5000-5305.FAC</t>
  </si>
  <si>
    <t>REVOLVING LOAN FUND REVENUE</t>
  </si>
  <si>
    <t>FAÇADE RENOVATION REVENUE</t>
  </si>
  <si>
    <t>5160.5305.FAC</t>
  </si>
  <si>
    <t>REVOLVING LOAN FUND - GF</t>
  </si>
  <si>
    <t>5160.5305.REV</t>
  </si>
  <si>
    <t>26,529 laserfisch software / 4800 for 6 laserfisch scanners / 5388 server replacement</t>
  </si>
  <si>
    <t>5250.5565.REF</t>
  </si>
  <si>
    <t>PLUS $1K LASERFISCH SETUP</t>
  </si>
  <si>
    <t>Billing &amp; Collections / 250</t>
  </si>
  <si>
    <t>Records Management Technology</t>
  </si>
  <si>
    <t>Laserfiche Records Management Software</t>
  </si>
  <si>
    <t>Will enable us to digitally archive all documents associated with Accounts Payable and Payroll</t>
  </si>
  <si>
    <t xml:space="preserve">as well as contracts, ordinances, resolutions, grants, deeds and easements.  </t>
  </si>
  <si>
    <t>This will improve records management requirements by outside agencies</t>
  </si>
  <si>
    <t>such as auditors and granting agencies in addition to improving process automation, security of</t>
  </si>
  <si>
    <t>documents, archival and retrieval capabilities.</t>
  </si>
  <si>
    <t>Offsite electronic data storage will be part of this project which is an additional risk management plus.</t>
  </si>
  <si>
    <t>Laserfiche Records Management Software Desktop Scanners</t>
  </si>
  <si>
    <t>Fijutsi Scanners to support Laserfisch project</t>
  </si>
  <si>
    <t>6 users @ $800 each</t>
  </si>
  <si>
    <t>Computer Server - City Hall</t>
  </si>
  <si>
    <t>The current server is 4 years old, underpowered, and needs to be replaced.</t>
  </si>
  <si>
    <t>The quoted server will meet the needs of the Laserfisch software and document imaging project.</t>
  </si>
  <si>
    <t>NOTE:  There is also an additional $1000 need for technology labor to setup project (will not be</t>
  </si>
  <si>
    <t>financed) but has been put into department budget request.</t>
  </si>
  <si>
    <t>FAÇADE &amp; PHYSI</t>
  </si>
  <si>
    <t>AL IMP GRANTS</t>
  </si>
  <si>
    <t>FAÇADE &amp; PHYSICAL IMP GRANTS</t>
  </si>
  <si>
    <t>just rained.</t>
  </si>
  <si>
    <t>façade plus $800 wayfinder signage</t>
  </si>
  <si>
    <t>Sparkle &amp; Spurs Womens Ranch Rodeo</t>
  </si>
  <si>
    <t>Reg 1 Wrangler JH Finals Rodeo</t>
  </si>
  <si>
    <t>Get Western Rough Stock Event</t>
  </si>
  <si>
    <t>Farmers Market Programs</t>
  </si>
  <si>
    <t>Celebrate the Holodays Art Show</t>
  </si>
  <si>
    <t>Wilbarger County Breast Cancer Fun Ride</t>
  </si>
  <si>
    <t>Art of American West, Stroll &amp; Roll</t>
  </si>
  <si>
    <t>$1,000music/$1,250 Programming/$2,000 Marketing</t>
  </si>
  <si>
    <t>84,000 -- old number -- which is correct?</t>
  </si>
  <si>
    <t>programmed decrease</t>
  </si>
  <si>
    <t>increased per bond counsel recommendation</t>
  </si>
  <si>
    <t>suddenlink escrow franchise revenue from 10.4050</t>
  </si>
  <si>
    <t>CPR class revenue, not PEG channel revenue</t>
  </si>
  <si>
    <t xml:space="preserve">consolidated City Hall </t>
  </si>
  <si>
    <t>also pays perdue collection attry fee out of this</t>
  </si>
  <si>
    <t>Pool Debt accounted for separately in F70</t>
  </si>
  <si>
    <t>10 % fuel increase (cut)</t>
  </si>
  <si>
    <t>Federal mandate street signs until 2015 to have done. (cut by 3K)</t>
  </si>
  <si>
    <t>10% Increase (cut)</t>
  </si>
  <si>
    <t>new ac/heat unit allow for new unit (cut)</t>
  </si>
  <si>
    <t>animal control vehicle/ patrol vehicle and equipment (cut)</t>
  </si>
  <si>
    <t>Historical Average (cut)</t>
  </si>
  <si>
    <t>SUV for staff (cut)</t>
  </si>
  <si>
    <t>Finance radios</t>
  </si>
  <si>
    <t>Grass , Plants outside the pool fence (cut)</t>
  </si>
  <si>
    <t>Paid out of separate debt fund</t>
  </si>
  <si>
    <t>New EMS Unit to replace 2004 model with 98,757 miles. (cut)</t>
  </si>
  <si>
    <t>Increased for Training of new EMT-I and EMT-P personnel. (cut)</t>
  </si>
  <si>
    <t xml:space="preserve">Cut added employee </t>
  </si>
  <si>
    <t xml:space="preserve">cut </t>
  </si>
  <si>
    <t>Fall Material (cut)</t>
  </si>
  <si>
    <t>Cut</t>
  </si>
  <si>
    <t>Allingham Park Walking Path (cut)</t>
  </si>
  <si>
    <t>Reduce</t>
  </si>
  <si>
    <t>Increase requested</t>
  </si>
  <si>
    <t>$5229 civic plus annual fee + misc internet &amp; party costs (reduced)</t>
  </si>
  <si>
    <t>paperless agendas (cut- do in FYE 2012?)</t>
  </si>
  <si>
    <t>10k from MS fund and $7500 from HOT</t>
  </si>
  <si>
    <t>HOT Funds</t>
  </si>
  <si>
    <t>MS funds</t>
  </si>
  <si>
    <t>24,242 moved to F96 for 2013 Ford Exployer 2wd (cut)</t>
  </si>
  <si>
    <t>21,000 moved to F96 for Heavy Duty Equipment Trailer (cut)</t>
  </si>
  <si>
    <t>won't finance since paying from F96 (took away (30,914 to Finance Truck, Trailer, Laser) (cut)</t>
  </si>
  <si>
    <t>Engineering study entire plant (reduce)</t>
  </si>
  <si>
    <t>(cut)</t>
  </si>
  <si>
    <t>FINANCIAL SUMMARY</t>
  </si>
  <si>
    <t>ACCT#</t>
  </si>
  <si>
    <t>ACCOUNT NAME</t>
  </si>
  <si>
    <t>BUSINESS DEVELOPMENT</t>
  </si>
  <si>
    <t>111</t>
  </si>
  <si>
    <t>LEGISLATIVE</t>
  </si>
  <si>
    <t>112</t>
  </si>
  <si>
    <t>CITY MANAGER</t>
  </si>
  <si>
    <t>113</t>
  </si>
  <si>
    <t>CITY SECRETARY</t>
  </si>
  <si>
    <t>114</t>
  </si>
  <si>
    <t>LEGAL</t>
  </si>
  <si>
    <t>116</t>
  </si>
  <si>
    <t>HEALTH</t>
  </si>
  <si>
    <t>118</t>
  </si>
  <si>
    <t>STREETS</t>
  </si>
  <si>
    <t>119</t>
  </si>
  <si>
    <t>GARAGE</t>
  </si>
  <si>
    <t>120</t>
  </si>
  <si>
    <t>POLICE DEPARTMENT</t>
  </si>
  <si>
    <t>121</t>
  </si>
  <si>
    <t>FIRE DEPARTMENT</t>
  </si>
  <si>
    <t>122</t>
  </si>
  <si>
    <t>CEMETARY DEPARTMENT</t>
  </si>
  <si>
    <t>123</t>
  </si>
  <si>
    <t>COURT</t>
  </si>
  <si>
    <t>124</t>
  </si>
  <si>
    <t>125</t>
  </si>
  <si>
    <t>AMBULANCE/EMS</t>
  </si>
  <si>
    <t>126</t>
  </si>
  <si>
    <t>PARKS DEPARTMENT</t>
  </si>
  <si>
    <t>128</t>
  </si>
  <si>
    <t>PURCHASING</t>
  </si>
  <si>
    <t>129</t>
  </si>
  <si>
    <t>FINANCE</t>
  </si>
  <si>
    <t>130</t>
  </si>
  <si>
    <t>COMMUNITY DEVELOPMENT</t>
  </si>
  <si>
    <t>131</t>
  </si>
  <si>
    <t>149</t>
  </si>
  <si>
    <t>SPECIAL ITEMS</t>
  </si>
  <si>
    <t>160</t>
  </si>
  <si>
    <t>MAIN STREET</t>
  </si>
  <si>
    <t>FY 2012-13</t>
  </si>
  <si>
    <t>FUND 20 REVENUES</t>
  </si>
  <si>
    <t>UTILITY/COLLECTIONS</t>
  </si>
  <si>
    <t>WATER/WASTEWATER COLL</t>
  </si>
  <si>
    <t>WASTEWATER TREATMENT</t>
  </si>
  <si>
    <t>LANDFILL/SANITATION</t>
  </si>
  <si>
    <t>DEBT SERVICE</t>
  </si>
  <si>
    <t>METER DEPOSITS</t>
  </si>
  <si>
    <t>page 1</t>
  </si>
  <si>
    <t>page 2</t>
  </si>
  <si>
    <t>page 3</t>
  </si>
  <si>
    <t>AQUATIC CENTER</t>
  </si>
  <si>
    <t>FUND 10 REVENUES</t>
  </si>
  <si>
    <t>COMMENTS ON</t>
  </si>
  <si>
    <t>% CHANGE</t>
  </si>
  <si>
    <t>COMPARED</t>
  </si>
  <si>
    <t>TO</t>
  </si>
  <si>
    <t>LAST BUDGET</t>
  </si>
  <si>
    <t>10 -GENERAL FUND - BEG FUND BALANCE</t>
  </si>
  <si>
    <t>10 -GENERAL FUND - END FUND BALANCE</t>
  </si>
  <si>
    <t>20 -UTILITY FUND - END FUND BALANCE</t>
  </si>
  <si>
    <t>20 -UTILITY FUND - BEG FUND BALANCE</t>
  </si>
  <si>
    <t>Asphalt &amp; Oil (cut20k for zipper pmt) postpone pavement of Maiden, Bismarck and Wichita</t>
  </si>
  <si>
    <t>%</t>
  </si>
  <si>
    <t>Error from FYE 2011</t>
  </si>
  <si>
    <t>Increased State Court Tax Item</t>
  </si>
  <si>
    <t>Debt Service from Donations</t>
  </si>
  <si>
    <t>Transfers</t>
  </si>
  <si>
    <t>Façade Grant Increase from Separate Fund</t>
  </si>
  <si>
    <t>Down by $16k access channel escrow - 97</t>
  </si>
  <si>
    <t>court expense to- 10.5123.5318.101</t>
  </si>
  <si>
    <t>Error form FYE 2011</t>
  </si>
  <si>
    <t>Extra materials will be used with the new asphalt zipper. (cut 10K for zipper pmt)</t>
  </si>
  <si>
    <t>same rate (.360778)</t>
  </si>
  <si>
    <t>Added 3 more Paramedic for total of 5 (three in Fire)</t>
  </si>
  <si>
    <t>Paramedic pay moved to salary</t>
  </si>
  <si>
    <t>Reduced</t>
  </si>
  <si>
    <t>Less Tax</t>
  </si>
  <si>
    <t>Less tax</t>
  </si>
  <si>
    <t>2X Food Expense Less tax</t>
  </si>
  <si>
    <t>Pump payment $6K moved to Fund 70 (keep here)</t>
  </si>
  <si>
    <t>Add  15kSeco grant  (FYE 2012)+20K Fire deployments</t>
  </si>
  <si>
    <t>realignment for salary classifications</t>
  </si>
  <si>
    <t xml:space="preserve">5K moved to F96(moved back) </t>
  </si>
  <si>
    <t>Paramedic Pay moved to salary</t>
  </si>
  <si>
    <t>includes $14,400 Paramedic pay</t>
  </si>
  <si>
    <t>Nitrate Late start Dec</t>
  </si>
  <si>
    <t xml:space="preserve"> Nitrate Plant added</t>
  </si>
  <si>
    <t>4130.012</t>
  </si>
  <si>
    <t>5000-5610.012</t>
  </si>
  <si>
    <t>5000-5620.012</t>
  </si>
  <si>
    <t>INTEREST - 2012 CO</t>
  </si>
  <si>
    <t>PRINCIPAL - 2012 CO</t>
  </si>
  <si>
    <t>TRANSFER FROM ENTERPRISE-12</t>
  </si>
  <si>
    <t>after refinancing</t>
  </si>
  <si>
    <t>same as 10.4130.60 TRANSFER FROM PERPETUAL CARE</t>
  </si>
  <si>
    <t>same as 10.4690.3 MAIN STREET TRANSFER IN</t>
  </si>
  <si>
    <t>75% of interest income</t>
  </si>
  <si>
    <t>same as 80.5000-5790  TRANSFER TO ELECTRIC TRUST EXP</t>
  </si>
  <si>
    <t>includes refinancing</t>
  </si>
  <si>
    <t>Approximate Beg Bal</t>
  </si>
  <si>
    <t>approx beg bal</t>
  </si>
  <si>
    <t>Estimated Balance</t>
  </si>
  <si>
    <t>Moved clerk here</t>
  </si>
  <si>
    <t>moved clerk here</t>
  </si>
  <si>
    <t>moved court clerk to court dept</t>
  </si>
  <si>
    <t>$14,750 added for mower</t>
  </si>
  <si>
    <t>New John Deere Riding  Mower (back in raised trans)</t>
  </si>
  <si>
    <t>Finance $10,705 (3yr)</t>
  </si>
  <si>
    <t>Lease proceeds</t>
  </si>
  <si>
    <t>Mower in Cap</t>
  </si>
  <si>
    <t>New Sprayer</t>
  </si>
  <si>
    <t>CM Raise</t>
  </si>
  <si>
    <t>Reduced Transfer to General Fund</t>
  </si>
  <si>
    <t xml:space="preserve">AG: dropped est by $50K  </t>
  </si>
  <si>
    <t>4.5% increase (usage up)</t>
  </si>
  <si>
    <t>Updated 8-20-12</t>
  </si>
  <si>
    <t>5K Laser/7,300 Trench Box/10k Ferrel Pumps/$21k Equip Trailer/$20k Leaks Mains &amp; Transmission line</t>
  </si>
  <si>
    <t>97 -CABLE CHANNEL (OLD 2002 SEWER SYSTEM CO'S)</t>
  </si>
  <si>
    <t>Worksheet 8-28-12</t>
  </si>
  <si>
    <t xml:space="preserve">CITY OF VERNON, TEXAS </t>
  </si>
  <si>
    <t>2012 -2013 Fiscal Year Budget</t>
  </si>
  <si>
    <t>2010-11</t>
  </si>
  <si>
    <t>2011-12</t>
  </si>
  <si>
    <t>2012-13</t>
  </si>
  <si>
    <t>ADOPTED</t>
  </si>
  <si>
    <t>252-WW TREATMENT PLANT PERSONNEL SERVICES</t>
  </si>
  <si>
    <t>TOTAL 251-WATER/WASTEWATER COLLECTION</t>
  </si>
  <si>
    <t>251-WW COLLECTION CAPITAL OUTLAY</t>
  </si>
  <si>
    <t>251-WW COLLECTION MAINTENANCE</t>
  </si>
  <si>
    <t>251-WW COLLECTION OTHER SERVICES AND CHARGES</t>
  </si>
  <si>
    <t>251-WW COLLECTION PERSONNEL SERVICES</t>
  </si>
  <si>
    <t>250-UTILITY/COL OTHER SERVICES &amp;CHARGES</t>
  </si>
  <si>
    <t>252-WASTEWTR TREAT.PLANT OTHER SERV &amp; CHRGS</t>
  </si>
  <si>
    <t>252-WASTEWATER TREAT, PLANT MAINTENANCE</t>
  </si>
  <si>
    <t>252-WASTEWATER TREAT. PLANT CAP OUTLAY</t>
  </si>
  <si>
    <t>253-LANDFILL/SAN. OTHER SERVICES AND CHARGES</t>
  </si>
  <si>
    <t>MAINT - INSTRUMENTS &amp; APPARATUS</t>
  </si>
  <si>
    <t>265-METER DEPOSITS OTHER SERV. AND CHARGES</t>
  </si>
  <si>
    <t>WSTRN TRL COWBOY MNTD SHOOTING</t>
  </si>
  <si>
    <t>110-BUSINESS DEVELOPMENT CORP PERSONNEL SVCS</t>
  </si>
  <si>
    <t>5000-5355.654</t>
  </si>
  <si>
    <t>5000-5355.655</t>
  </si>
  <si>
    <t>5000-5355.656</t>
  </si>
  <si>
    <t>5000-5355.657</t>
  </si>
  <si>
    <t>5000-5355.658</t>
  </si>
  <si>
    <t>5000-5355.659</t>
  </si>
  <si>
    <t>5000-5355.660</t>
  </si>
</sst>
</file>

<file path=xl/styles.xml><?xml version="1.0" encoding="utf-8"?>
<styleSheet xmlns="http://schemas.openxmlformats.org/spreadsheetml/2006/main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/dd/yy;@"/>
    <numFmt numFmtId="166" formatCode="0.000"/>
    <numFmt numFmtId="167" formatCode="0.0000"/>
    <numFmt numFmtId="168" formatCode="0.0%"/>
  </numFmts>
  <fonts count="35"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u/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i/>
      <sz val="8"/>
      <color theme="1"/>
      <name val="Arial"/>
      <family val="2"/>
    </font>
    <font>
      <sz val="7.5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6337778862885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45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20" applyNumberFormat="0" applyAlignment="0" applyProtection="0"/>
    <xf numFmtId="0" fontId="7" fillId="28" borderId="21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10" fillId="0" borderId="22" applyNumberFormat="0" applyFill="0" applyAlignment="0" applyProtection="0"/>
    <xf numFmtId="0" fontId="11" fillId="0" borderId="23" applyNumberFormat="0" applyFill="0" applyAlignment="0" applyProtection="0"/>
    <xf numFmtId="0" fontId="12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13" fillId="30" borderId="20" applyNumberFormat="0" applyAlignment="0" applyProtection="0"/>
    <xf numFmtId="0" fontId="14" fillId="0" borderId="25" applyNumberFormat="0" applyFill="0" applyAlignment="0" applyProtection="0"/>
    <xf numFmtId="0" fontId="15" fillId="31" borderId="0" applyNumberFormat="0" applyBorder="0" applyAlignment="0" applyProtection="0"/>
    <xf numFmtId="0" fontId="3" fillId="32" borderId="26" applyNumberFormat="0" applyFont="0" applyAlignment="0" applyProtection="0"/>
    <xf numFmtId="0" fontId="16" fillId="27" borderId="27" applyNumberFormat="0" applyAlignment="0" applyProtection="0"/>
    <xf numFmtId="0" fontId="17" fillId="0" borderId="0" applyNumberFormat="0" applyFill="0" applyBorder="0" applyAlignment="0" applyProtection="0"/>
    <xf numFmtId="0" fontId="18" fillId="0" borderId="28" applyNumberFormat="0" applyFill="0" applyAlignment="0" applyProtection="0"/>
    <xf numFmtId="0" fontId="1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362">
    <xf numFmtId="0" fontId="0" fillId="0" borderId="0" xfId="0"/>
    <xf numFmtId="0" fontId="20" fillId="0" borderId="0" xfId="0" applyFont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0" xfId="0" applyFont="1" applyFill="1"/>
    <xf numFmtId="0" fontId="21" fillId="0" borderId="0" xfId="0" applyFont="1" applyFill="1" applyAlignment="1">
      <alignment horizontal="left"/>
    </xf>
    <xf numFmtId="40" fontId="21" fillId="0" borderId="0" xfId="0" applyNumberFormat="1" applyFont="1"/>
    <xf numFmtId="0" fontId="21" fillId="33" borderId="1" xfId="0" applyFont="1" applyFill="1" applyBorder="1"/>
    <xf numFmtId="0" fontId="21" fillId="34" borderId="2" xfId="0" applyFont="1" applyFill="1" applyBorder="1"/>
    <xf numFmtId="0" fontId="21" fillId="35" borderId="3" xfId="0" applyFont="1" applyFill="1" applyBorder="1"/>
    <xf numFmtId="0" fontId="21" fillId="36" borderId="0" xfId="0" applyFont="1" applyFill="1" applyBorder="1"/>
    <xf numFmtId="0" fontId="21" fillId="0" borderId="1" xfId="0" applyFont="1" applyFill="1" applyBorder="1"/>
    <xf numFmtId="0" fontId="21" fillId="0" borderId="1" xfId="0" applyFont="1" applyFill="1" applyBorder="1" applyAlignment="1">
      <alignment horizontal="left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22" fillId="0" borderId="0" xfId="0" applyFont="1" applyAlignment="1">
      <alignment horizontal="left"/>
    </xf>
    <xf numFmtId="0" fontId="22" fillId="33" borderId="1" xfId="0" applyFont="1" applyFill="1" applyBorder="1" applyAlignment="1">
      <alignment horizontal="left"/>
    </xf>
    <xf numFmtId="0" fontId="22" fillId="37" borderId="4" xfId="0" applyFont="1" applyFill="1" applyBorder="1" applyAlignment="1">
      <alignment horizontal="left"/>
    </xf>
    <xf numFmtId="0" fontId="22" fillId="38" borderId="4" xfId="0" applyFont="1" applyFill="1" applyBorder="1" applyAlignment="1">
      <alignment horizontal="left"/>
    </xf>
    <xf numFmtId="0" fontId="22" fillId="39" borderId="4" xfId="0" applyFont="1" applyFill="1" applyBorder="1" applyAlignment="1">
      <alignment horizontal="left"/>
    </xf>
    <xf numFmtId="0" fontId="22" fillId="33" borderId="1" xfId="0" applyFont="1" applyFill="1" applyBorder="1"/>
    <xf numFmtId="0" fontId="22" fillId="37" borderId="4" xfId="0" applyFont="1" applyFill="1" applyBorder="1"/>
    <xf numFmtId="0" fontId="22" fillId="38" borderId="4" xfId="0" applyFont="1" applyFill="1" applyBorder="1"/>
    <xf numFmtId="0" fontId="22" fillId="39" borderId="4" xfId="0" applyFont="1" applyFill="1" applyBorder="1"/>
    <xf numFmtId="38" fontId="21" fillId="0" borderId="1" xfId="0" applyNumberFormat="1" applyFont="1" applyFill="1" applyBorder="1"/>
    <xf numFmtId="38" fontId="21" fillId="0" borderId="0" xfId="0" applyNumberFormat="1" applyFont="1" applyFill="1" applyBorder="1"/>
    <xf numFmtId="0" fontId="22" fillId="34" borderId="2" xfId="0" applyFont="1" applyFill="1" applyBorder="1"/>
    <xf numFmtId="0" fontId="22" fillId="34" borderId="2" xfId="0" applyFont="1" applyFill="1" applyBorder="1" applyAlignment="1">
      <alignment horizontal="left"/>
    </xf>
    <xf numFmtId="0" fontId="22" fillId="40" borderId="2" xfId="0" applyFont="1" applyFill="1" applyBorder="1"/>
    <xf numFmtId="0" fontId="22" fillId="35" borderId="2" xfId="0" applyFont="1" applyFill="1" applyBorder="1"/>
    <xf numFmtId="0" fontId="22" fillId="36" borderId="1" xfId="0" applyFont="1" applyFill="1" applyBorder="1"/>
    <xf numFmtId="0" fontId="22" fillId="36" borderId="1" xfId="0" applyFont="1" applyFill="1" applyBorder="1" applyAlignment="1">
      <alignment horizontal="left"/>
    </xf>
    <xf numFmtId="0" fontId="22" fillId="35" borderId="3" xfId="0" applyFont="1" applyFill="1" applyBorder="1"/>
    <xf numFmtId="0" fontId="22" fillId="35" borderId="3" xfId="0" applyFont="1" applyFill="1" applyBorder="1" applyAlignment="1">
      <alignment horizontal="left"/>
    </xf>
    <xf numFmtId="0" fontId="22" fillId="0" borderId="0" xfId="0" applyFont="1"/>
    <xf numFmtId="40" fontId="22" fillId="0" borderId="0" xfId="0" applyNumberFormat="1" applyFont="1"/>
    <xf numFmtId="0" fontId="22" fillId="40" borderId="1" xfId="0" applyFont="1" applyFill="1" applyBorder="1"/>
    <xf numFmtId="0" fontId="22" fillId="40" borderId="1" xfId="0" applyFont="1" applyFill="1" applyBorder="1" applyAlignment="1">
      <alignment horizontal="left"/>
    </xf>
    <xf numFmtId="0" fontId="22" fillId="36" borderId="0" xfId="0" applyFont="1" applyFill="1" applyBorder="1"/>
    <xf numFmtId="0" fontId="21" fillId="0" borderId="4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21" fillId="0" borderId="2" xfId="0" applyFont="1" applyBorder="1"/>
    <xf numFmtId="0" fontId="21" fillId="0" borderId="2" xfId="0" applyFont="1" applyBorder="1" applyAlignment="1">
      <alignment horizontal="left"/>
    </xf>
    <xf numFmtId="0" fontId="21" fillId="0" borderId="0" xfId="0" applyFont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38" fontId="22" fillId="0" borderId="0" xfId="0" applyNumberFormat="1" applyFont="1" applyFill="1" applyBorder="1"/>
    <xf numFmtId="0" fontId="21" fillId="0" borderId="1" xfId="0" applyFont="1" applyBorder="1"/>
    <xf numFmtId="0" fontId="22" fillId="40" borderId="0" xfId="0" applyFont="1" applyFill="1" applyBorder="1"/>
    <xf numFmtId="38" fontId="22" fillId="35" borderId="3" xfId="0" applyNumberFormat="1" applyFont="1" applyFill="1" applyBorder="1" applyAlignment="1">
      <alignment horizontal="right"/>
    </xf>
    <xf numFmtId="38" fontId="21" fillId="0" borderId="0" xfId="0" applyNumberFormat="1" applyFont="1" applyAlignment="1">
      <alignment horizontal="right"/>
    </xf>
    <xf numFmtId="0" fontId="21" fillId="0" borderId="4" xfId="0" applyFont="1" applyBorder="1"/>
    <xf numFmtId="0" fontId="22" fillId="0" borderId="1" xfId="0" applyFont="1" applyFill="1" applyBorder="1" applyAlignment="1">
      <alignment horizontal="left"/>
    </xf>
    <xf numFmtId="38" fontId="22" fillId="0" borderId="1" xfId="0" applyNumberFormat="1" applyFont="1" applyFill="1" applyBorder="1"/>
    <xf numFmtId="38" fontId="22" fillId="0" borderId="0" xfId="0" applyNumberFormat="1" applyFont="1" applyFill="1" applyBorder="1" applyAlignment="1">
      <alignment horizontal="right"/>
    </xf>
    <xf numFmtId="0" fontId="22" fillId="0" borderId="1" xfId="0" applyFont="1" applyFill="1" applyBorder="1"/>
    <xf numFmtId="38" fontId="22" fillId="0" borderId="0" xfId="0" applyNumberFormat="1" applyFont="1" applyFill="1" applyBorder="1" applyAlignment="1">
      <alignment horizontal="left"/>
    </xf>
    <xf numFmtId="0" fontId="21" fillId="40" borderId="0" xfId="0" applyFont="1" applyFill="1" applyBorder="1"/>
    <xf numFmtId="38" fontId="21" fillId="35" borderId="3" xfId="0" applyNumberFormat="1" applyFont="1" applyFill="1" applyBorder="1" applyAlignment="1">
      <alignment horizontal="right"/>
    </xf>
    <xf numFmtId="38" fontId="21" fillId="0" borderId="0" xfId="0" applyNumberFormat="1" applyFont="1" applyFill="1" applyBorder="1" applyAlignment="1">
      <alignment horizontal="right"/>
    </xf>
    <xf numFmtId="0" fontId="21" fillId="0" borderId="4" xfId="0" applyFont="1" applyFill="1" applyBorder="1"/>
    <xf numFmtId="0" fontId="22" fillId="41" borderId="0" xfId="0" applyFont="1" applyFill="1" applyBorder="1"/>
    <xf numFmtId="0" fontId="22" fillId="41" borderId="4" xfId="0" applyFont="1" applyFill="1" applyBorder="1"/>
    <xf numFmtId="0" fontId="21" fillId="41" borderId="0" xfId="0" applyFont="1" applyFill="1" applyBorder="1"/>
    <xf numFmtId="0" fontId="21" fillId="41" borderId="4" xfId="0" applyFont="1" applyFill="1" applyBorder="1"/>
    <xf numFmtId="0" fontId="22" fillId="41" borderId="0" xfId="0" applyFont="1" applyFill="1"/>
    <xf numFmtId="0" fontId="22" fillId="0" borderId="2" xfId="0" applyFont="1" applyFill="1" applyBorder="1" applyAlignment="1">
      <alignment horizontal="left"/>
    </xf>
    <xf numFmtId="38" fontId="22" fillId="0" borderId="2" xfId="0" applyNumberFormat="1" applyFont="1" applyFill="1" applyBorder="1" applyAlignment="1">
      <alignment horizontal="right"/>
    </xf>
    <xf numFmtId="0" fontId="22" fillId="0" borderId="2" xfId="0" applyFont="1" applyFill="1" applyBorder="1"/>
    <xf numFmtId="0" fontId="22" fillId="42" borderId="4" xfId="0" applyFont="1" applyFill="1" applyBorder="1" applyAlignment="1">
      <alignment horizontal="left"/>
    </xf>
    <xf numFmtId="0" fontId="22" fillId="42" borderId="4" xfId="0" applyFont="1" applyFill="1" applyBorder="1"/>
    <xf numFmtId="38" fontId="21" fillId="43" borderId="6" xfId="0" applyNumberFormat="1" applyFont="1" applyFill="1" applyBorder="1"/>
    <xf numFmtId="38" fontId="21" fillId="0" borderId="7" xfId="0" applyNumberFormat="1" applyFont="1" applyBorder="1"/>
    <xf numFmtId="0" fontId="21" fillId="0" borderId="0" xfId="0" applyFont="1" applyFill="1" applyAlignment="1">
      <alignment horizontal="center"/>
    </xf>
    <xf numFmtId="0" fontId="21" fillId="0" borderId="7" xfId="0" applyNumberFormat="1" applyFont="1" applyBorder="1" applyAlignment="1">
      <alignment horizontal="right"/>
    </xf>
    <xf numFmtId="0" fontId="22" fillId="0" borderId="7" xfId="0" applyNumberFormat="1" applyFont="1" applyBorder="1"/>
    <xf numFmtId="0" fontId="21" fillId="0" borderId="7" xfId="0" applyNumberFormat="1" applyFont="1" applyBorder="1"/>
    <xf numFmtId="0" fontId="22" fillId="33" borderId="8" xfId="0" applyNumberFormat="1" applyFont="1" applyFill="1" applyBorder="1"/>
    <xf numFmtId="0" fontId="21" fillId="0" borderId="7" xfId="0" applyNumberFormat="1" applyFont="1" applyFill="1" applyBorder="1"/>
    <xf numFmtId="0" fontId="22" fillId="42" borderId="6" xfId="0" applyNumberFormat="1" applyFont="1" applyFill="1" applyBorder="1"/>
    <xf numFmtId="0" fontId="21" fillId="0" borderId="9" xfId="0" applyNumberFormat="1" applyFont="1" applyBorder="1"/>
    <xf numFmtId="0" fontId="22" fillId="0" borderId="7" xfId="0" applyNumberFormat="1" applyFont="1" applyFill="1" applyBorder="1"/>
    <xf numFmtId="0" fontId="22" fillId="37" borderId="6" xfId="0" applyNumberFormat="1" applyFont="1" applyFill="1" applyBorder="1"/>
    <xf numFmtId="0" fontId="22" fillId="38" borderId="6" xfId="0" applyNumberFormat="1" applyFont="1" applyFill="1" applyBorder="1"/>
    <xf numFmtId="0" fontId="22" fillId="39" borderId="6" xfId="0" applyNumberFormat="1" applyFont="1" applyFill="1" applyBorder="1"/>
    <xf numFmtId="0" fontId="21" fillId="0" borderId="8" xfId="0" applyNumberFormat="1" applyFont="1" applyBorder="1"/>
    <xf numFmtId="0" fontId="22" fillId="36" borderId="7" xfId="0" applyNumberFormat="1" applyFont="1" applyFill="1" applyBorder="1"/>
    <xf numFmtId="0" fontId="22" fillId="35" borderId="10" xfId="0" applyNumberFormat="1" applyFont="1" applyFill="1" applyBorder="1"/>
    <xf numFmtId="0" fontId="22" fillId="0" borderId="8" xfId="0" applyNumberFormat="1" applyFont="1" applyFill="1" applyBorder="1"/>
    <xf numFmtId="0" fontId="22" fillId="34" borderId="9" xfId="0" applyNumberFormat="1" applyFont="1" applyFill="1" applyBorder="1" applyAlignment="1">
      <alignment horizontal="right"/>
    </xf>
    <xf numFmtId="0" fontId="22" fillId="0" borderId="7" xfId="0" applyNumberFormat="1" applyFont="1" applyFill="1" applyBorder="1" applyAlignment="1">
      <alignment horizontal="right"/>
    </xf>
    <xf numFmtId="0" fontId="21" fillId="0" borderId="11" xfId="0" applyNumberFormat="1" applyFont="1" applyBorder="1"/>
    <xf numFmtId="0" fontId="22" fillId="40" borderId="7" xfId="0" applyNumberFormat="1" applyFont="1" applyFill="1" applyBorder="1" applyAlignment="1">
      <alignment horizontal="right"/>
    </xf>
    <xf numFmtId="0" fontId="22" fillId="35" borderId="10" xfId="0" applyNumberFormat="1" applyFont="1" applyFill="1" applyBorder="1" applyAlignment="1">
      <alignment horizontal="right"/>
    </xf>
    <xf numFmtId="0" fontId="23" fillId="0" borderId="1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3" fillId="0" borderId="5" xfId="0" applyFont="1" applyBorder="1" applyAlignment="1">
      <alignment horizontal="left"/>
    </xf>
    <xf numFmtId="0" fontId="24" fillId="0" borderId="0" xfId="0" applyFont="1"/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0" fontId="24" fillId="0" borderId="0" xfId="0" applyFont="1" applyBorder="1" applyAlignment="1">
      <alignment horizontal="left"/>
    </xf>
    <xf numFmtId="0" fontId="24" fillId="43" borderId="0" xfId="0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6" xfId="0" applyFont="1" applyBorder="1" applyAlignment="1">
      <alignment horizontal="center"/>
    </xf>
    <xf numFmtId="0" fontId="24" fillId="0" borderId="6" xfId="0" applyFont="1" applyBorder="1"/>
    <xf numFmtId="0" fontId="21" fillId="0" borderId="6" xfId="0" applyFont="1" applyBorder="1" applyAlignment="1">
      <alignment horizontal="left"/>
    </xf>
    <xf numFmtId="0" fontId="24" fillId="0" borderId="6" xfId="0" applyFont="1" applyBorder="1" applyAlignment="1">
      <alignment horizontal="center"/>
    </xf>
    <xf numFmtId="0" fontId="24" fillId="0" borderId="1" xfId="0" applyFont="1" applyBorder="1"/>
    <xf numFmtId="0" fontId="24" fillId="0" borderId="12" xfId="0" applyFont="1" applyBorder="1"/>
    <xf numFmtId="0" fontId="24" fillId="0" borderId="13" xfId="0" applyFont="1" applyBorder="1"/>
    <xf numFmtId="0" fontId="24" fillId="0" borderId="8" xfId="0" applyFont="1" applyBorder="1" applyAlignment="1">
      <alignment horizontal="center"/>
    </xf>
    <xf numFmtId="0" fontId="24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7" xfId="0" applyFont="1" applyBorder="1"/>
    <xf numFmtId="0" fontId="24" fillId="0" borderId="11" xfId="0" applyFont="1" applyBorder="1" applyAlignment="1">
      <alignment horizontal="center"/>
    </xf>
    <xf numFmtId="0" fontId="24" fillId="0" borderId="11" xfId="0" applyFont="1" applyBorder="1"/>
    <xf numFmtId="0" fontId="24" fillId="0" borderId="14" xfId="0" applyFont="1" applyBorder="1" applyAlignment="1">
      <alignment horizontal="left"/>
    </xf>
    <xf numFmtId="165" fontId="24" fillId="0" borderId="0" xfId="0" applyNumberFormat="1" applyFont="1" applyBorder="1"/>
    <xf numFmtId="165" fontId="24" fillId="0" borderId="8" xfId="0" applyNumberFormat="1" applyFont="1" applyBorder="1"/>
    <xf numFmtId="165" fontId="24" fillId="0" borderId="7" xfId="0" applyNumberFormat="1" applyFont="1" applyBorder="1" applyAlignment="1">
      <alignment horizontal="center"/>
    </xf>
    <xf numFmtId="165" fontId="24" fillId="0" borderId="11" xfId="0" applyNumberFormat="1" applyFont="1" applyBorder="1" applyAlignment="1">
      <alignment horizontal="center"/>
    </xf>
    <xf numFmtId="165" fontId="24" fillId="43" borderId="6" xfId="0" applyNumberFormat="1" applyFont="1" applyFill="1" applyBorder="1"/>
    <xf numFmtId="165" fontId="24" fillId="43" borderId="0" xfId="0" applyNumberFormat="1" applyFont="1" applyFill="1" applyBorder="1"/>
    <xf numFmtId="165" fontId="24" fillId="0" borderId="0" xfId="0" applyNumberFormat="1" applyFont="1" applyFill="1" applyBorder="1"/>
    <xf numFmtId="0" fontId="20" fillId="43" borderId="14" xfId="0" applyFont="1" applyFill="1" applyBorder="1" applyAlignment="1">
      <alignment horizontal="left"/>
    </xf>
    <xf numFmtId="0" fontId="20" fillId="43" borderId="12" xfId="0" applyFont="1" applyFill="1" applyBorder="1"/>
    <xf numFmtId="0" fontId="20" fillId="43" borderId="1" xfId="0" applyFont="1" applyFill="1" applyBorder="1"/>
    <xf numFmtId="0" fontId="20" fillId="43" borderId="15" xfId="0" applyFont="1" applyFill="1" applyBorder="1" applyAlignment="1">
      <alignment horizontal="left"/>
    </xf>
    <xf numFmtId="0" fontId="25" fillId="0" borderId="0" xfId="0" applyFont="1"/>
    <xf numFmtId="0" fontId="20" fillId="0" borderId="0" xfId="0" applyFont="1"/>
    <xf numFmtId="0" fontId="26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43" borderId="16" xfId="0" applyFont="1" applyFill="1" applyBorder="1"/>
    <xf numFmtId="0" fontId="20" fillId="43" borderId="4" xfId="0" applyFont="1" applyFill="1" applyBorder="1"/>
    <xf numFmtId="0" fontId="20" fillId="43" borderId="17" xfId="0" applyFont="1" applyFill="1" applyBorder="1"/>
    <xf numFmtId="0" fontId="20" fillId="43" borderId="4" xfId="0" applyFont="1" applyFill="1" applyBorder="1" applyAlignment="1">
      <alignment horizontal="left"/>
    </xf>
    <xf numFmtId="5" fontId="20" fillId="43" borderId="6" xfId="29" applyNumberFormat="1" applyFont="1" applyFill="1" applyBorder="1"/>
    <xf numFmtId="5" fontId="20" fillId="0" borderId="6" xfId="29" applyNumberFormat="1" applyFont="1" applyFill="1" applyBorder="1"/>
    <xf numFmtId="0" fontId="20" fillId="43" borderId="17" xfId="0" applyFont="1" applyFill="1" applyBorder="1" applyAlignment="1">
      <alignment horizontal="left"/>
    </xf>
    <xf numFmtId="0" fontId="26" fillId="0" borderId="0" xfId="0" applyFont="1"/>
    <xf numFmtId="0" fontId="20" fillId="43" borderId="0" xfId="0" applyFont="1" applyFill="1" applyBorder="1"/>
    <xf numFmtId="0" fontId="20" fillId="43" borderId="13" xfId="0" applyFont="1" applyFill="1" applyBorder="1"/>
    <xf numFmtId="0" fontId="20" fillId="43" borderId="14" xfId="0" applyFont="1" applyFill="1" applyBorder="1"/>
    <xf numFmtId="0" fontId="20" fillId="43" borderId="18" xfId="0" applyFont="1" applyFill="1" applyBorder="1" applyAlignment="1">
      <alignment horizontal="left"/>
    </xf>
    <xf numFmtId="0" fontId="20" fillId="43" borderId="5" xfId="0" applyFont="1" applyFill="1" applyBorder="1"/>
    <xf numFmtId="0" fontId="20" fillId="43" borderId="19" xfId="0" applyFont="1" applyFill="1" applyBorder="1"/>
    <xf numFmtId="0" fontId="20" fillId="0" borderId="0" xfId="0" applyFont="1" applyAlignment="1">
      <alignment horizontal="right"/>
    </xf>
    <xf numFmtId="0" fontId="20" fillId="43" borderId="6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5" fontId="27" fillId="0" borderId="6" xfId="0" applyNumberFormat="1" applyFont="1" applyBorder="1"/>
    <xf numFmtId="0" fontId="20" fillId="0" borderId="0" xfId="0" applyFont="1" applyFill="1" applyBorder="1" applyAlignment="1">
      <alignment horizontal="center"/>
    </xf>
    <xf numFmtId="5" fontId="27" fillId="43" borderId="6" xfId="29" applyNumberFormat="1" applyFont="1" applyFill="1" applyBorder="1"/>
    <xf numFmtId="5" fontId="26" fillId="0" borderId="0" xfId="0" applyNumberFormat="1" applyFont="1"/>
    <xf numFmtId="5" fontId="27" fillId="0" borderId="0" xfId="0" applyNumberFormat="1" applyFont="1" applyBorder="1"/>
    <xf numFmtId="0" fontId="24" fillId="0" borderId="14" xfId="0" applyFont="1" applyBorder="1"/>
    <xf numFmtId="0" fontId="28" fillId="0" borderId="15" xfId="0" applyFont="1" applyBorder="1" applyAlignment="1">
      <alignment horizontal="left"/>
    </xf>
    <xf numFmtId="165" fontId="24" fillId="0" borderId="1" xfId="0" applyNumberFormat="1" applyFont="1" applyBorder="1"/>
    <xf numFmtId="0" fontId="24" fillId="43" borderId="14" xfId="0" applyFont="1" applyFill="1" applyBorder="1" applyAlignment="1">
      <alignment horizontal="center"/>
    </xf>
    <xf numFmtId="165" fontId="24" fillId="43" borderId="13" xfId="0" applyNumberFormat="1" applyFont="1" applyFill="1" applyBorder="1"/>
    <xf numFmtId="0" fontId="24" fillId="43" borderId="18" xfId="0" applyFont="1" applyFill="1" applyBorder="1" applyAlignment="1">
      <alignment horizontal="center"/>
    </xf>
    <xf numFmtId="0" fontId="24" fillId="43" borderId="5" xfId="0" applyFont="1" applyFill="1" applyBorder="1"/>
    <xf numFmtId="165" fontId="24" fillId="43" borderId="5" xfId="0" applyNumberFormat="1" applyFont="1" applyFill="1" applyBorder="1"/>
    <xf numFmtId="165" fontId="24" fillId="43" borderId="19" xfId="0" applyNumberFormat="1" applyFont="1" applyFill="1" applyBorder="1"/>
    <xf numFmtId="2" fontId="24" fillId="0" borderId="0" xfId="0" applyNumberFormat="1" applyFont="1" applyBorder="1" applyAlignment="1">
      <alignment horizontal="left"/>
    </xf>
    <xf numFmtId="0" fontId="24" fillId="0" borderId="0" xfId="0" applyFont="1" applyBorder="1" applyAlignment="1">
      <alignment horizontal="right"/>
    </xf>
    <xf numFmtId="2" fontId="24" fillId="0" borderId="0" xfId="0" applyNumberFormat="1" applyFont="1" applyBorder="1" applyAlignment="1">
      <alignment horizontal="right"/>
    </xf>
    <xf numFmtId="167" fontId="24" fillId="0" borderId="0" xfId="0" applyNumberFormat="1" applyFont="1" applyBorder="1" applyAlignment="1">
      <alignment horizontal="left"/>
    </xf>
    <xf numFmtId="165" fontId="23" fillId="0" borderId="1" xfId="0" applyNumberFormat="1" applyFont="1" applyBorder="1" applyAlignment="1">
      <alignment horizontal="left"/>
    </xf>
    <xf numFmtId="0" fontId="29" fillId="0" borderId="12" xfId="0" applyFont="1" applyBorder="1" applyAlignment="1">
      <alignment horizontal="left"/>
    </xf>
    <xf numFmtId="165" fontId="23" fillId="0" borderId="0" xfId="0" applyNumberFormat="1" applyFont="1" applyBorder="1" applyAlignment="1">
      <alignment horizontal="left"/>
    </xf>
    <xf numFmtId="0" fontId="29" fillId="0" borderId="13" xfId="0" applyFont="1" applyBorder="1" applyAlignment="1">
      <alignment horizontal="left"/>
    </xf>
    <xf numFmtId="0" fontId="23" fillId="0" borderId="14" xfId="0" applyFont="1" applyBorder="1"/>
    <xf numFmtId="0" fontId="23" fillId="0" borderId="0" xfId="0" applyFont="1" applyBorder="1"/>
    <xf numFmtId="165" fontId="23" fillId="0" borderId="0" xfId="0" applyNumberFormat="1" applyFont="1" applyBorder="1"/>
    <xf numFmtId="0" fontId="29" fillId="0" borderId="13" xfId="0" applyFont="1" applyBorder="1"/>
    <xf numFmtId="0" fontId="23" fillId="0" borderId="14" xfId="0" applyFont="1" applyBorder="1" applyAlignment="1">
      <alignment horizontal="left"/>
    </xf>
    <xf numFmtId="165" fontId="23" fillId="0" borderId="5" xfId="0" applyNumberFormat="1" applyFont="1" applyBorder="1" applyAlignment="1">
      <alignment horizontal="left"/>
    </xf>
    <xf numFmtId="0" fontId="29" fillId="0" borderId="19" xfId="0" applyFont="1" applyBorder="1" applyAlignment="1">
      <alignment horizontal="left"/>
    </xf>
    <xf numFmtId="0" fontId="23" fillId="0" borderId="15" xfId="0" applyFont="1" applyBorder="1" applyAlignment="1">
      <alignment horizontal="left"/>
    </xf>
    <xf numFmtId="0" fontId="23" fillId="0" borderId="14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0" fontId="30" fillId="43" borderId="14" xfId="0" applyFont="1" applyFill="1" applyBorder="1" applyAlignment="1">
      <alignment horizontal="left"/>
    </xf>
    <xf numFmtId="0" fontId="23" fillId="43" borderId="0" xfId="0" applyFont="1" applyFill="1" applyBorder="1" applyAlignment="1">
      <alignment horizontal="left"/>
    </xf>
    <xf numFmtId="164" fontId="23" fillId="0" borderId="0" xfId="28" applyNumberFormat="1" applyFont="1" applyBorder="1" applyAlignment="1">
      <alignment horizontal="left"/>
    </xf>
    <xf numFmtId="0" fontId="23" fillId="0" borderId="18" xfId="0" applyFont="1" applyBorder="1" applyAlignment="1">
      <alignment horizontal="left"/>
    </xf>
    <xf numFmtId="0" fontId="30" fillId="43" borderId="0" xfId="0" applyFont="1" applyFill="1" applyBorder="1" applyAlignment="1">
      <alignment horizontal="left"/>
    </xf>
    <xf numFmtId="0" fontId="24" fillId="0" borderId="1" xfId="0" applyFont="1" applyFill="1" applyBorder="1"/>
    <xf numFmtId="0" fontId="28" fillId="0" borderId="0" xfId="0" applyFont="1" applyFill="1" applyBorder="1"/>
    <xf numFmtId="0" fontId="28" fillId="0" borderId="1" xfId="0" applyFont="1" applyFill="1" applyBorder="1"/>
    <xf numFmtId="0" fontId="21" fillId="0" borderId="0" xfId="0" applyFont="1" applyFill="1"/>
    <xf numFmtId="0" fontId="0" fillId="0" borderId="0" xfId="0"/>
    <xf numFmtId="0" fontId="21" fillId="0" borderId="0" xfId="0" applyFont="1" applyFill="1"/>
    <xf numFmtId="0" fontId="21" fillId="44" borderId="0" xfId="0" applyFont="1" applyFill="1"/>
    <xf numFmtId="0" fontId="21" fillId="44" borderId="0" xfId="0" applyFont="1" applyFill="1" applyAlignment="1">
      <alignment horizontal="center"/>
    </xf>
    <xf numFmtId="0" fontId="22" fillId="44" borderId="4" xfId="0" applyFont="1" applyFill="1" applyBorder="1" applyAlignment="1">
      <alignment horizontal="left"/>
    </xf>
    <xf numFmtId="0" fontId="22" fillId="44" borderId="6" xfId="0" applyNumberFormat="1" applyFont="1" applyFill="1" applyBorder="1"/>
    <xf numFmtId="0" fontId="22" fillId="44" borderId="4" xfId="0" applyFont="1" applyFill="1" applyBorder="1"/>
    <xf numFmtId="0" fontId="21" fillId="44" borderId="4" xfId="0" applyFont="1" applyFill="1" applyBorder="1"/>
    <xf numFmtId="0" fontId="31" fillId="37" borderId="0" xfId="0" applyFont="1" applyFill="1"/>
    <xf numFmtId="0" fontId="21" fillId="37" borderId="0" xfId="0" applyFont="1" applyFill="1"/>
    <xf numFmtId="22" fontId="21" fillId="37" borderId="0" xfId="0" quotePrefix="1" applyNumberFormat="1" applyFont="1" applyFill="1" applyAlignment="1">
      <alignment horizontal="left"/>
    </xf>
    <xf numFmtId="0" fontId="21" fillId="37" borderId="0" xfId="0" applyFont="1" applyFill="1" applyAlignment="1">
      <alignment horizontal="left"/>
    </xf>
    <xf numFmtId="40" fontId="21" fillId="37" borderId="0" xfId="28" applyNumberFormat="1" applyFont="1" applyFill="1" applyAlignment="1">
      <alignment horizontal="left"/>
    </xf>
    <xf numFmtId="40" fontId="21" fillId="37" borderId="0" xfId="28" applyNumberFormat="1" applyFont="1" applyFill="1" applyAlignment="1">
      <alignment horizontal="center"/>
    </xf>
    <xf numFmtId="40" fontId="22" fillId="37" borderId="0" xfId="28" quotePrefix="1" applyNumberFormat="1" applyFont="1" applyFill="1" applyAlignment="1">
      <alignment horizontal="center"/>
    </xf>
    <xf numFmtId="0" fontId="22" fillId="37" borderId="0" xfId="0" applyFont="1" applyFill="1" applyAlignment="1">
      <alignment horizontal="left"/>
    </xf>
    <xf numFmtId="0" fontId="21" fillId="37" borderId="0" xfId="0" applyFont="1" applyFill="1" applyAlignment="1">
      <alignment horizontal="center"/>
    </xf>
    <xf numFmtId="40" fontId="21" fillId="37" borderId="0" xfId="28" applyNumberFormat="1" applyFont="1" applyFill="1" applyAlignment="1">
      <alignment horizontal="right"/>
    </xf>
    <xf numFmtId="40" fontId="22" fillId="37" borderId="0" xfId="28" applyNumberFormat="1" applyFont="1" applyFill="1" applyAlignment="1">
      <alignment horizontal="center"/>
    </xf>
    <xf numFmtId="40" fontId="22" fillId="37" borderId="0" xfId="28" applyNumberFormat="1" applyFont="1" applyFill="1" applyAlignment="1">
      <alignment horizontal="right"/>
    </xf>
    <xf numFmtId="0" fontId="31" fillId="38" borderId="0" xfId="0" applyFont="1" applyFill="1"/>
    <xf numFmtId="0" fontId="21" fillId="38" borderId="0" xfId="0" applyFont="1" applyFill="1" applyAlignment="1">
      <alignment horizontal="center"/>
    </xf>
    <xf numFmtId="0" fontId="21" fillId="38" borderId="0" xfId="0" applyFont="1" applyFill="1" applyAlignment="1">
      <alignment horizontal="left"/>
    </xf>
    <xf numFmtId="40" fontId="21" fillId="38" borderId="0" xfId="28" applyNumberFormat="1" applyFont="1" applyFill="1" applyAlignment="1">
      <alignment horizontal="left"/>
    </xf>
    <xf numFmtId="40" fontId="21" fillId="38" borderId="0" xfId="28" applyNumberFormat="1" applyFont="1" applyFill="1" applyAlignment="1">
      <alignment horizontal="right"/>
    </xf>
    <xf numFmtId="40" fontId="22" fillId="38" borderId="0" xfId="28" applyNumberFormat="1" applyFont="1" applyFill="1" applyAlignment="1">
      <alignment horizontal="right"/>
    </xf>
    <xf numFmtId="0" fontId="22" fillId="38" borderId="1" xfId="0" applyFont="1" applyFill="1" applyBorder="1"/>
    <xf numFmtId="0" fontId="22" fillId="38" borderId="0" xfId="0" applyFont="1" applyFill="1" applyBorder="1"/>
    <xf numFmtId="38" fontId="21" fillId="38" borderId="0" xfId="0" applyNumberFormat="1" applyFont="1" applyFill="1" applyAlignment="1">
      <alignment horizontal="right"/>
    </xf>
    <xf numFmtId="0" fontId="21" fillId="38" borderId="0" xfId="0" applyFont="1" applyFill="1"/>
    <xf numFmtId="0" fontId="22" fillId="38" borderId="0" xfId="0" applyFont="1" applyFill="1"/>
    <xf numFmtId="0" fontId="21" fillId="38" borderId="1" xfId="0" applyFont="1" applyFill="1" applyBorder="1"/>
    <xf numFmtId="0" fontId="22" fillId="38" borderId="2" xfId="0" applyFont="1" applyFill="1" applyBorder="1"/>
    <xf numFmtId="0" fontId="21" fillId="38" borderId="4" xfId="0" applyFont="1" applyFill="1" applyBorder="1"/>
    <xf numFmtId="0" fontId="21" fillId="38" borderId="0" xfId="0" applyFont="1" applyFill="1" applyBorder="1"/>
    <xf numFmtId="0" fontId="0" fillId="0" borderId="0" xfId="0" applyAlignment="1">
      <alignment wrapText="1"/>
    </xf>
    <xf numFmtId="0" fontId="0" fillId="43" borderId="29" xfId="0" applyFill="1" applyBorder="1" applyAlignment="1">
      <alignment wrapText="1"/>
    </xf>
    <xf numFmtId="0" fontId="0" fillId="43" borderId="30" xfId="0" applyFill="1" applyBorder="1" applyAlignment="1">
      <alignment wrapText="1"/>
    </xf>
    <xf numFmtId="0" fontId="0" fillId="43" borderId="31" xfId="0" applyFill="1" applyBorder="1" applyAlignment="1">
      <alignment wrapText="1"/>
    </xf>
    <xf numFmtId="0" fontId="0" fillId="43" borderId="0" xfId="0" applyFill="1" applyAlignment="1">
      <alignment wrapText="1"/>
    </xf>
    <xf numFmtId="0" fontId="0" fillId="43" borderId="32" xfId="0" applyFill="1" applyBorder="1" applyAlignment="1">
      <alignment wrapText="1"/>
    </xf>
    <xf numFmtId="0" fontId="0" fillId="43" borderId="34" xfId="0" applyFill="1" applyBorder="1" applyAlignment="1">
      <alignment wrapText="1"/>
    </xf>
    <xf numFmtId="0" fontId="0" fillId="43" borderId="35" xfId="0" applyFill="1" applyBorder="1" applyAlignment="1">
      <alignment wrapText="1"/>
    </xf>
    <xf numFmtId="0" fontId="0" fillId="43" borderId="36" xfId="0" applyFill="1" applyBorder="1" applyAlignment="1">
      <alignment wrapText="1"/>
    </xf>
    <xf numFmtId="0" fontId="0" fillId="43" borderId="37" xfId="0" applyFill="1" applyBorder="1" applyAlignment="1">
      <alignment wrapText="1"/>
    </xf>
    <xf numFmtId="0" fontId="0" fillId="43" borderId="38" xfId="0" applyFill="1" applyBorder="1" applyAlignment="1">
      <alignment wrapText="1"/>
    </xf>
    <xf numFmtId="0" fontId="0" fillId="43" borderId="39" xfId="0" applyFill="1" applyBorder="1" applyAlignment="1">
      <alignment wrapText="1"/>
    </xf>
    <xf numFmtId="0" fontId="0" fillId="43" borderId="40" xfId="0" applyFill="1" applyBorder="1" applyAlignment="1">
      <alignment wrapText="1"/>
    </xf>
    <xf numFmtId="6" fontId="18" fillId="43" borderId="32" xfId="0" applyNumberFormat="1" applyFont="1" applyFill="1" applyBorder="1" applyAlignment="1">
      <alignment horizontal="right" wrapText="1"/>
    </xf>
    <xf numFmtId="0" fontId="0" fillId="43" borderId="41" xfId="0" applyFill="1" applyBorder="1" applyAlignment="1">
      <alignment wrapText="1"/>
    </xf>
    <xf numFmtId="0" fontId="0" fillId="0" borderId="41" xfId="0" applyBorder="1" applyAlignment="1">
      <alignment wrapText="1"/>
    </xf>
    <xf numFmtId="0" fontId="32" fillId="0" borderId="0" xfId="0" applyFont="1" applyAlignment="1">
      <alignment wrapText="1"/>
    </xf>
    <xf numFmtId="6" fontId="0" fillId="43" borderId="41" xfId="0" applyNumberFormat="1" applyFill="1" applyBorder="1" applyAlignment="1">
      <alignment horizontal="right" wrapText="1"/>
    </xf>
    <xf numFmtId="6" fontId="18" fillId="0" borderId="32" xfId="0" applyNumberFormat="1" applyFont="1" applyBorder="1" applyAlignment="1">
      <alignment horizontal="right" wrapText="1"/>
    </xf>
    <xf numFmtId="0" fontId="33" fillId="0" borderId="0" xfId="0" applyFont="1" applyAlignment="1">
      <alignment wrapText="1"/>
    </xf>
    <xf numFmtId="6" fontId="33" fillId="0" borderId="0" xfId="0" applyNumberFormat="1" applyFont="1" applyAlignment="1">
      <alignment horizontal="right" wrapText="1"/>
    </xf>
    <xf numFmtId="0" fontId="22" fillId="35" borderId="0" xfId="0" applyFont="1" applyFill="1" applyBorder="1"/>
    <xf numFmtId="38" fontId="22" fillId="35" borderId="0" xfId="0" applyNumberFormat="1" applyFont="1" applyFill="1" applyBorder="1" applyAlignment="1">
      <alignment horizontal="right"/>
    </xf>
    <xf numFmtId="38" fontId="21" fillId="35" borderId="0" xfId="0" applyNumberFormat="1" applyFont="1" applyFill="1" applyBorder="1" applyAlignment="1">
      <alignment horizontal="right"/>
    </xf>
    <xf numFmtId="38" fontId="22" fillId="45" borderId="1" xfId="0" applyNumberFormat="1" applyFont="1" applyFill="1" applyBorder="1" applyAlignment="1">
      <alignment horizontal="left"/>
    </xf>
    <xf numFmtId="38" fontId="22" fillId="34" borderId="2" xfId="0" applyNumberFormat="1" applyFont="1" applyFill="1" applyBorder="1" applyAlignment="1">
      <alignment horizontal="left"/>
    </xf>
    <xf numFmtId="0" fontId="0" fillId="0" borderId="5" xfId="0" applyBorder="1"/>
    <xf numFmtId="38" fontId="0" fillId="0" borderId="0" xfId="0" applyNumberFormat="1"/>
    <xf numFmtId="38" fontId="0" fillId="0" borderId="5" xfId="0" applyNumberFormat="1" applyBorder="1"/>
    <xf numFmtId="38" fontId="0" fillId="0" borderId="2" xfId="0" applyNumberFormat="1" applyBorder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40" fontId="0" fillId="0" borderId="0" xfId="0" applyNumberFormat="1"/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42" xfId="0" applyBorder="1" applyAlignment="1">
      <alignment horizontal="left"/>
    </xf>
    <xf numFmtId="0" fontId="0" fillId="0" borderId="42" xfId="0" applyBorder="1"/>
    <xf numFmtId="38" fontId="0" fillId="0" borderId="42" xfId="0" applyNumberFormat="1" applyBorder="1"/>
    <xf numFmtId="49" fontId="0" fillId="0" borderId="42" xfId="0" applyNumberFormat="1" applyBorder="1" applyAlignment="1">
      <alignment horizontal="left"/>
    </xf>
    <xf numFmtId="0" fontId="0" fillId="0" borderId="42" xfId="0" applyBorder="1" applyAlignment="1"/>
    <xf numFmtId="38" fontId="0" fillId="0" borderId="42" xfId="0" applyNumberFormat="1" applyBorder="1" applyAlignment="1">
      <alignment horizontal="right"/>
    </xf>
    <xf numFmtId="9" fontId="0" fillId="0" borderId="2" xfId="44" applyFont="1" applyBorder="1" applyAlignment="1">
      <alignment horizontal="right"/>
    </xf>
    <xf numFmtId="38" fontId="0" fillId="0" borderId="0" xfId="0" applyNumberFormat="1" applyAlignment="1">
      <alignment horizontal="right"/>
    </xf>
    <xf numFmtId="9" fontId="0" fillId="0" borderId="42" xfId="44" applyFont="1" applyBorder="1" applyAlignment="1">
      <alignment horizontal="right"/>
    </xf>
    <xf numFmtId="0" fontId="21" fillId="0" borderId="13" xfId="0" applyNumberFormat="1" applyFont="1" applyBorder="1" applyAlignment="1">
      <alignment horizontal="left"/>
    </xf>
    <xf numFmtId="0" fontId="22" fillId="0" borderId="13" xfId="0" applyNumberFormat="1" applyFont="1" applyBorder="1" applyAlignment="1">
      <alignment horizontal="left"/>
    </xf>
    <xf numFmtId="0" fontId="21" fillId="0" borderId="13" xfId="0" quotePrefix="1" applyNumberFormat="1" applyFont="1" applyBorder="1" applyAlignment="1">
      <alignment horizontal="left"/>
    </xf>
    <xf numFmtId="0" fontId="22" fillId="45" borderId="12" xfId="0" applyNumberFormat="1" applyFont="1" applyFill="1" applyBorder="1" applyAlignment="1">
      <alignment horizontal="left"/>
    </xf>
    <xf numFmtId="0" fontId="22" fillId="33" borderId="12" xfId="0" applyNumberFormat="1" applyFont="1" applyFill="1" applyBorder="1" applyAlignment="1">
      <alignment horizontal="left"/>
    </xf>
    <xf numFmtId="0" fontId="21" fillId="0" borderId="12" xfId="0" applyNumberFormat="1" applyFont="1" applyFill="1" applyBorder="1" applyAlignment="1">
      <alignment horizontal="left"/>
    </xf>
    <xf numFmtId="0" fontId="22" fillId="34" borderId="43" xfId="0" applyNumberFormat="1" applyFont="1" applyFill="1" applyBorder="1" applyAlignment="1">
      <alignment horizontal="left"/>
    </xf>
    <xf numFmtId="0" fontId="21" fillId="0" borderId="13" xfId="0" applyNumberFormat="1" applyFont="1" applyFill="1" applyBorder="1" applyAlignment="1">
      <alignment horizontal="left"/>
    </xf>
    <xf numFmtId="0" fontId="22" fillId="40" borderId="43" xfId="0" applyNumberFormat="1" applyFont="1" applyFill="1" applyBorder="1" applyAlignment="1">
      <alignment horizontal="left"/>
    </xf>
    <xf numFmtId="0" fontId="22" fillId="35" borderId="43" xfId="0" applyNumberFormat="1" applyFont="1" applyFill="1" applyBorder="1" applyAlignment="1">
      <alignment horizontal="left"/>
    </xf>
    <xf numFmtId="38" fontId="21" fillId="43" borderId="17" xfId="0" applyNumberFormat="1" applyFont="1" applyFill="1" applyBorder="1" applyAlignment="1">
      <alignment horizontal="left"/>
    </xf>
    <xf numFmtId="0" fontId="22" fillId="42" borderId="17" xfId="0" applyNumberFormat="1" applyFont="1" applyFill="1" applyBorder="1" applyAlignment="1">
      <alignment horizontal="left"/>
    </xf>
    <xf numFmtId="0" fontId="22" fillId="44" borderId="17" xfId="0" applyNumberFormat="1" applyFont="1" applyFill="1" applyBorder="1" applyAlignment="1">
      <alignment horizontal="left"/>
    </xf>
    <xf numFmtId="0" fontId="21" fillId="0" borderId="43" xfId="0" applyNumberFormat="1" applyFont="1" applyBorder="1" applyAlignment="1">
      <alignment horizontal="left"/>
    </xf>
    <xf numFmtId="0" fontId="22" fillId="0" borderId="13" xfId="0" applyNumberFormat="1" applyFont="1" applyFill="1" applyBorder="1" applyAlignment="1">
      <alignment horizontal="left"/>
    </xf>
    <xf numFmtId="0" fontId="22" fillId="37" borderId="17" xfId="0" applyNumberFormat="1" applyFont="1" applyFill="1" applyBorder="1" applyAlignment="1">
      <alignment horizontal="left"/>
    </xf>
    <xf numFmtId="0" fontId="22" fillId="38" borderId="17" xfId="0" applyNumberFormat="1" applyFont="1" applyFill="1" applyBorder="1" applyAlignment="1">
      <alignment horizontal="left"/>
    </xf>
    <xf numFmtId="0" fontId="22" fillId="39" borderId="17" xfId="0" applyNumberFormat="1" applyFont="1" applyFill="1" applyBorder="1" applyAlignment="1">
      <alignment horizontal="left"/>
    </xf>
    <xf numFmtId="38" fontId="21" fillId="0" borderId="13" xfId="0" applyNumberFormat="1" applyFont="1" applyBorder="1" applyAlignment="1">
      <alignment horizontal="left"/>
    </xf>
    <xf numFmtId="0" fontId="21" fillId="43" borderId="13" xfId="0" applyNumberFormat="1" applyFont="1" applyFill="1" applyBorder="1" applyAlignment="1">
      <alignment horizontal="left"/>
    </xf>
    <xf numFmtId="38" fontId="21" fillId="46" borderId="17" xfId="0" applyNumberFormat="1" applyFont="1" applyFill="1" applyBorder="1" applyAlignment="1">
      <alignment horizontal="left"/>
    </xf>
    <xf numFmtId="38" fontId="23" fillId="43" borderId="17" xfId="0" applyNumberFormat="1" applyFont="1" applyFill="1" applyBorder="1" applyAlignment="1">
      <alignment horizontal="left"/>
    </xf>
    <xf numFmtId="38" fontId="21" fillId="47" borderId="17" xfId="0" applyNumberFormat="1" applyFont="1" applyFill="1" applyBorder="1" applyAlignment="1">
      <alignment horizontal="left"/>
    </xf>
    <xf numFmtId="0" fontId="21" fillId="41" borderId="17" xfId="0" applyNumberFormat="1" applyFont="1" applyFill="1" applyBorder="1" applyAlignment="1">
      <alignment horizontal="left"/>
    </xf>
    <xf numFmtId="0" fontId="21" fillId="0" borderId="12" xfId="0" applyNumberFormat="1" applyFont="1" applyBorder="1" applyAlignment="1">
      <alignment horizontal="left"/>
    </xf>
    <xf numFmtId="0" fontId="22" fillId="36" borderId="13" xfId="0" applyNumberFormat="1" applyFont="1" applyFill="1" applyBorder="1" applyAlignment="1">
      <alignment horizontal="left"/>
    </xf>
    <xf numFmtId="0" fontId="22" fillId="35" borderId="44" xfId="0" applyNumberFormat="1" applyFont="1" applyFill="1" applyBorder="1" applyAlignment="1">
      <alignment horizontal="left"/>
    </xf>
    <xf numFmtId="0" fontId="22" fillId="0" borderId="12" xfId="0" applyNumberFormat="1" applyFont="1" applyFill="1" applyBorder="1" applyAlignment="1">
      <alignment horizontal="left"/>
    </xf>
    <xf numFmtId="0" fontId="22" fillId="40" borderId="12" xfId="0" applyNumberFormat="1" applyFont="1" applyFill="1" applyBorder="1" applyAlignment="1">
      <alignment horizontal="left"/>
    </xf>
    <xf numFmtId="0" fontId="21" fillId="0" borderId="17" xfId="0" applyNumberFormat="1" applyFont="1" applyBorder="1" applyAlignment="1">
      <alignment horizontal="left"/>
    </xf>
    <xf numFmtId="0" fontId="22" fillId="36" borderId="12" xfId="0" applyNumberFormat="1" applyFont="1" applyFill="1" applyBorder="1" applyAlignment="1">
      <alignment horizontal="left"/>
    </xf>
    <xf numFmtId="38" fontId="21" fillId="43" borderId="13" xfId="0" applyNumberFormat="1" applyFont="1" applyFill="1" applyBorder="1" applyAlignment="1">
      <alignment horizontal="left"/>
    </xf>
    <xf numFmtId="0" fontId="22" fillId="40" borderId="13" xfId="0" applyNumberFormat="1" applyFont="1" applyFill="1" applyBorder="1" applyAlignment="1">
      <alignment horizontal="left"/>
    </xf>
    <xf numFmtId="0" fontId="22" fillId="41" borderId="17" xfId="0" applyNumberFormat="1" applyFont="1" applyFill="1" applyBorder="1" applyAlignment="1">
      <alignment horizontal="left"/>
    </xf>
    <xf numFmtId="0" fontId="22" fillId="0" borderId="43" xfId="0" applyNumberFormat="1" applyFont="1" applyFill="1" applyBorder="1" applyAlignment="1">
      <alignment horizontal="left"/>
    </xf>
    <xf numFmtId="0" fontId="22" fillId="41" borderId="13" xfId="0" applyNumberFormat="1" applyFont="1" applyFill="1" applyBorder="1" applyAlignment="1">
      <alignment horizontal="left"/>
    </xf>
    <xf numFmtId="0" fontId="21" fillId="39" borderId="17" xfId="0" applyNumberFormat="1" applyFont="1" applyFill="1" applyBorder="1" applyAlignment="1">
      <alignment horizontal="left"/>
    </xf>
    <xf numFmtId="40" fontId="21" fillId="0" borderId="0" xfId="0" applyNumberFormat="1" applyFont="1" applyFill="1" applyBorder="1"/>
    <xf numFmtId="2" fontId="21" fillId="0" borderId="0" xfId="0" applyNumberFormat="1" applyFont="1" applyFill="1" applyBorder="1" applyAlignment="1">
      <alignment horizontal="left"/>
    </xf>
    <xf numFmtId="166" fontId="21" fillId="0" borderId="0" xfId="0" applyNumberFormat="1" applyFont="1" applyFill="1" applyBorder="1" applyAlignment="1">
      <alignment horizontal="left"/>
    </xf>
    <xf numFmtId="40" fontId="21" fillId="0" borderId="0" xfId="28" applyNumberFormat="1" applyFont="1" applyFill="1" applyBorder="1" applyAlignment="1">
      <alignment horizontal="left"/>
    </xf>
    <xf numFmtId="0" fontId="21" fillId="0" borderId="0" xfId="0" quotePrefix="1" applyFont="1" applyFill="1" applyBorder="1"/>
    <xf numFmtId="38" fontId="21" fillId="0" borderId="0" xfId="0" applyNumberFormat="1" applyFont="1" applyFill="1" applyBorder="1" applyAlignment="1">
      <alignment horizontal="center"/>
    </xf>
    <xf numFmtId="38" fontId="22" fillId="0" borderId="0" xfId="0" applyNumberFormat="1" applyFont="1" applyFill="1" applyBorder="1" applyAlignment="1">
      <alignment horizontal="center"/>
    </xf>
    <xf numFmtId="38" fontId="21" fillId="0" borderId="0" xfId="0" quotePrefix="1" applyNumberFormat="1" applyFont="1" applyFill="1" applyBorder="1" applyAlignment="1">
      <alignment horizontal="center"/>
    </xf>
    <xf numFmtId="0" fontId="28" fillId="0" borderId="2" xfId="0" applyFont="1" applyFill="1" applyBorder="1"/>
    <xf numFmtId="38" fontId="22" fillId="0" borderId="2" xfId="0" applyNumberFormat="1" applyFont="1" applyFill="1" applyBorder="1"/>
    <xf numFmtId="38" fontId="21" fillId="0" borderId="4" xfId="0" applyNumberFormat="1" applyFont="1" applyFill="1" applyBorder="1"/>
    <xf numFmtId="0" fontId="22" fillId="0" borderId="4" xfId="0" applyFont="1" applyFill="1" applyBorder="1" applyAlignment="1">
      <alignment horizontal="left"/>
    </xf>
    <xf numFmtId="0" fontId="28" fillId="0" borderId="4" xfId="0" applyFont="1" applyFill="1" applyBorder="1"/>
    <xf numFmtId="38" fontId="22" fillId="0" borderId="4" xfId="0" applyNumberFormat="1" applyFont="1" applyFill="1" applyBorder="1"/>
    <xf numFmtId="0" fontId="21" fillId="0" borderId="2" xfId="0" applyFont="1" applyFill="1" applyBorder="1" applyAlignment="1">
      <alignment horizontal="left"/>
    </xf>
    <xf numFmtId="0" fontId="24" fillId="0" borderId="2" xfId="0" applyFont="1" applyFill="1" applyBorder="1"/>
    <xf numFmtId="38" fontId="21" fillId="0" borderId="2" xfId="0" applyNumberFormat="1" applyFont="1" applyFill="1" applyBorder="1"/>
    <xf numFmtId="0" fontId="22" fillId="0" borderId="3" xfId="0" applyFont="1" applyFill="1" applyBorder="1" applyAlignment="1">
      <alignment horizontal="left"/>
    </xf>
    <xf numFmtId="0" fontId="28" fillId="0" borderId="3" xfId="0" applyFont="1" applyFill="1" applyBorder="1"/>
    <xf numFmtId="38" fontId="22" fillId="0" borderId="3" xfId="0" applyNumberFormat="1" applyFont="1" applyFill="1" applyBorder="1"/>
    <xf numFmtId="0" fontId="21" fillId="0" borderId="0" xfId="0" applyFont="1" applyFill="1" applyBorder="1" applyAlignment="1">
      <alignment horizontal="right"/>
    </xf>
    <xf numFmtId="0" fontId="21" fillId="0" borderId="5" xfId="0" applyFont="1" applyFill="1" applyBorder="1" applyAlignment="1">
      <alignment horizontal="left"/>
    </xf>
    <xf numFmtId="38" fontId="21" fillId="0" borderId="5" xfId="0" applyNumberFormat="1" applyFont="1" applyFill="1" applyBorder="1"/>
    <xf numFmtId="38" fontId="22" fillId="0" borderId="3" xfId="0" applyNumberFormat="1" applyFont="1" applyFill="1" applyBorder="1" applyAlignment="1">
      <alignment horizontal="left"/>
    </xf>
    <xf numFmtId="38" fontId="22" fillId="0" borderId="3" xfId="0" applyNumberFormat="1" applyFont="1" applyFill="1" applyBorder="1" applyAlignment="1">
      <alignment horizontal="right"/>
    </xf>
    <xf numFmtId="0" fontId="21" fillId="0" borderId="4" xfId="0" applyFont="1" applyFill="1" applyBorder="1" applyAlignment="1">
      <alignment horizontal="left"/>
    </xf>
    <xf numFmtId="0" fontId="24" fillId="0" borderId="4" xfId="0" applyFont="1" applyFill="1" applyBorder="1"/>
    <xf numFmtId="38" fontId="22" fillId="0" borderId="1" xfId="0" applyNumberFormat="1" applyFont="1" applyFill="1" applyBorder="1" applyAlignment="1">
      <alignment horizontal="right"/>
    </xf>
    <xf numFmtId="0" fontId="22" fillId="0" borderId="5" xfId="0" applyFont="1" applyFill="1" applyBorder="1" applyAlignment="1">
      <alignment horizontal="left"/>
    </xf>
    <xf numFmtId="0" fontId="24" fillId="0" borderId="5" xfId="0" applyFont="1" applyFill="1" applyBorder="1"/>
    <xf numFmtId="49" fontId="21" fillId="0" borderId="13" xfId="0" quotePrefix="1" applyNumberFormat="1" applyFont="1" applyBorder="1" applyAlignment="1">
      <alignment horizontal="left"/>
    </xf>
    <xf numFmtId="168" fontId="0" fillId="0" borderId="2" xfId="44" applyNumberFormat="1" applyFont="1" applyBorder="1" applyAlignment="1">
      <alignment horizontal="right"/>
    </xf>
    <xf numFmtId="168" fontId="0" fillId="0" borderId="0" xfId="44" applyNumberFormat="1" applyFont="1" applyBorder="1" applyAlignment="1">
      <alignment horizontal="right"/>
    </xf>
    <xf numFmtId="168" fontId="0" fillId="0" borderId="0" xfId="0" applyNumberFormat="1" applyAlignment="1">
      <alignment horizontal="right"/>
    </xf>
    <xf numFmtId="168" fontId="0" fillId="0" borderId="5" xfId="44" applyNumberFormat="1" applyFont="1" applyBorder="1" applyAlignment="1">
      <alignment horizontal="right"/>
    </xf>
    <xf numFmtId="38" fontId="21" fillId="43" borderId="17" xfId="0" quotePrefix="1" applyNumberFormat="1" applyFont="1" applyFill="1" applyBorder="1" applyAlignment="1">
      <alignment horizontal="left"/>
    </xf>
    <xf numFmtId="38" fontId="22" fillId="0" borderId="8" xfId="0" applyNumberFormat="1" applyFont="1" applyFill="1" applyBorder="1" applyAlignment="1">
      <alignment horizontal="right"/>
    </xf>
    <xf numFmtId="38" fontId="22" fillId="0" borderId="7" xfId="0" applyNumberFormat="1" applyFont="1" applyFill="1" applyBorder="1" applyAlignment="1">
      <alignment horizontal="right"/>
    </xf>
    <xf numFmtId="0" fontId="0" fillId="0" borderId="0" xfId="0" applyAlignment="1"/>
    <xf numFmtId="38" fontId="22" fillId="0" borderId="11" xfId="0" applyNumberFormat="1" applyFont="1" applyFill="1" applyBorder="1" applyAlignment="1">
      <alignment horizontal="right"/>
    </xf>
    <xf numFmtId="38" fontId="22" fillId="0" borderId="11" xfId="0" quotePrefix="1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left"/>
    </xf>
    <xf numFmtId="0" fontId="18" fillId="0" borderId="0" xfId="0" applyFont="1" applyAlignment="1"/>
    <xf numFmtId="0" fontId="0" fillId="0" borderId="0" xfId="0" applyAlignment="1">
      <alignment wrapText="1"/>
    </xf>
    <xf numFmtId="0" fontId="0" fillId="0" borderId="37" xfId="0" applyBorder="1" applyAlignment="1">
      <alignment wrapText="1"/>
    </xf>
    <xf numFmtId="0" fontId="18" fillId="0" borderId="0" xfId="0" applyFont="1" applyAlignment="1">
      <alignment wrapText="1"/>
    </xf>
    <xf numFmtId="0" fontId="0" fillId="43" borderId="29" xfId="0" applyFill="1" applyBorder="1" applyAlignment="1">
      <alignment wrapText="1"/>
    </xf>
    <xf numFmtId="0" fontId="0" fillId="43" borderId="30" xfId="0" applyFill="1" applyBorder="1" applyAlignment="1">
      <alignment wrapText="1"/>
    </xf>
    <xf numFmtId="0" fontId="0" fillId="43" borderId="33" xfId="0" applyFill="1" applyBorder="1" applyAlignment="1">
      <alignment wrapText="1"/>
    </xf>
    <xf numFmtId="0" fontId="0" fillId="43" borderId="34" xfId="0" applyFill="1" applyBorder="1" applyAlignment="1">
      <alignment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urrency" xfId="29" builtinId="4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te" xfId="39" builtinId="10" customBuiltin="1"/>
    <cellStyle name="Output" xfId="40" builtinId="21" customBuiltin="1"/>
    <cellStyle name="Percent" xfId="44" builtinId="5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400058</xdr:colOff>
      <xdr:row>39</xdr:row>
      <xdr:rowOff>19050</xdr:rowOff>
    </xdr:from>
    <xdr:to>
      <xdr:col>5</xdr:col>
      <xdr:colOff>438151</xdr:colOff>
      <xdr:row>47</xdr:row>
      <xdr:rowOff>123828</xdr:rowOff>
    </xdr:to>
    <xdr:cxnSp macro="">
      <xdr:nvCxnSpPr>
        <xdr:cNvPr id="3" name="Straight Arrow Connector 2"/>
        <xdr:cNvCxnSpPr/>
      </xdr:nvCxnSpPr>
      <xdr:spPr>
        <a:xfrm rot="5400000">
          <a:off x="4638678" y="5934080"/>
          <a:ext cx="1314453" cy="76199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510</xdr:row>
      <xdr:rowOff>0</xdr:rowOff>
    </xdr:from>
    <xdr:to>
      <xdr:col>6</xdr:col>
      <xdr:colOff>581025</xdr:colOff>
      <xdr:row>515</xdr:row>
      <xdr:rowOff>133350</xdr:rowOff>
    </xdr:to>
    <xdr:sp macro="" textlink="">
      <xdr:nvSpPr>
        <xdr:cNvPr id="3074" name="AutoShape 2" descr="https://mail.google.com/mail/?ui=2&amp;ik=315405ca05&amp;view=att&amp;th=1382f6e9915dc4bc&amp;attid=0.1&amp;disp=emb&amp;zw&amp;atsh=1"/>
        <xdr:cNvSpPr>
          <a:spLocks noChangeAspect="1" noChangeArrowheads="1"/>
        </xdr:cNvSpPr>
      </xdr:nvSpPr>
      <xdr:spPr bwMode="auto">
        <a:xfrm>
          <a:off x="1828800" y="10372725"/>
          <a:ext cx="1943100" cy="1085850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26" Type="http://schemas.openxmlformats.org/officeDocument/2006/relationships/oleObject" Target="../embeddings/oleObject23.bin"/><Relationship Id="rId39" Type="http://schemas.openxmlformats.org/officeDocument/2006/relationships/oleObject" Target="../embeddings/oleObject36.bin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oleObject18.bin"/><Relationship Id="rId34" Type="http://schemas.openxmlformats.org/officeDocument/2006/relationships/oleObject" Target="../embeddings/oleObject31.bin"/><Relationship Id="rId42" Type="http://schemas.openxmlformats.org/officeDocument/2006/relationships/oleObject" Target="../embeddings/oleObject39.bin"/><Relationship Id="rId7" Type="http://schemas.openxmlformats.org/officeDocument/2006/relationships/oleObject" Target="../embeddings/oleObject4.bin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5" Type="http://schemas.openxmlformats.org/officeDocument/2006/relationships/oleObject" Target="../embeddings/oleObject22.bin"/><Relationship Id="rId33" Type="http://schemas.openxmlformats.org/officeDocument/2006/relationships/oleObject" Target="../embeddings/oleObject30.bin"/><Relationship Id="rId38" Type="http://schemas.openxmlformats.org/officeDocument/2006/relationships/oleObject" Target="../embeddings/oleObject35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13.bin"/><Relationship Id="rId20" Type="http://schemas.openxmlformats.org/officeDocument/2006/relationships/oleObject" Target="../embeddings/oleObject17.bin"/><Relationship Id="rId29" Type="http://schemas.openxmlformats.org/officeDocument/2006/relationships/oleObject" Target="../embeddings/oleObject26.bin"/><Relationship Id="rId41" Type="http://schemas.openxmlformats.org/officeDocument/2006/relationships/oleObject" Target="../embeddings/oleObject38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24" Type="http://schemas.openxmlformats.org/officeDocument/2006/relationships/oleObject" Target="../embeddings/oleObject21.bin"/><Relationship Id="rId32" Type="http://schemas.openxmlformats.org/officeDocument/2006/relationships/oleObject" Target="../embeddings/oleObject29.bin"/><Relationship Id="rId37" Type="http://schemas.openxmlformats.org/officeDocument/2006/relationships/oleObject" Target="../embeddings/oleObject34.bin"/><Relationship Id="rId40" Type="http://schemas.openxmlformats.org/officeDocument/2006/relationships/oleObject" Target="../embeddings/oleObject37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28" Type="http://schemas.openxmlformats.org/officeDocument/2006/relationships/oleObject" Target="../embeddings/oleObject25.bin"/><Relationship Id="rId36" Type="http://schemas.openxmlformats.org/officeDocument/2006/relationships/oleObject" Target="../embeddings/oleObject33.bin"/><Relationship Id="rId10" Type="http://schemas.openxmlformats.org/officeDocument/2006/relationships/oleObject" Target="../embeddings/oleObject7.bin"/><Relationship Id="rId19" Type="http://schemas.openxmlformats.org/officeDocument/2006/relationships/oleObject" Target="../embeddings/oleObject16.bin"/><Relationship Id="rId31" Type="http://schemas.openxmlformats.org/officeDocument/2006/relationships/oleObject" Target="../embeddings/oleObject28.bin"/><Relationship Id="rId44" Type="http://schemas.openxmlformats.org/officeDocument/2006/relationships/oleObject" Target="../embeddings/oleObject41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Relationship Id="rId27" Type="http://schemas.openxmlformats.org/officeDocument/2006/relationships/oleObject" Target="../embeddings/oleObject24.bin"/><Relationship Id="rId30" Type="http://schemas.openxmlformats.org/officeDocument/2006/relationships/oleObject" Target="../embeddings/oleObject27.bin"/><Relationship Id="rId35" Type="http://schemas.openxmlformats.org/officeDocument/2006/relationships/oleObject" Target="../embeddings/oleObject32.bin"/><Relationship Id="rId43" Type="http://schemas.openxmlformats.org/officeDocument/2006/relationships/oleObject" Target="../embeddings/oleObject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89"/>
  <sheetViews>
    <sheetView topLeftCell="A51" workbookViewId="0">
      <selection activeCell="C67" sqref="C67"/>
    </sheetView>
  </sheetViews>
  <sheetFormatPr defaultRowHeight="11.25"/>
  <cols>
    <col min="1" max="1" width="9.140625" style="100"/>
    <col min="2" max="2" width="23.7109375" style="101" customWidth="1"/>
    <col min="3" max="3" width="24.28515625" style="101" customWidth="1"/>
    <col min="4" max="4" width="10.85546875" style="101" customWidth="1"/>
    <col min="5" max="5" width="10.85546875" style="120" customWidth="1"/>
    <col min="6" max="6" width="10.85546875" style="101" customWidth="1"/>
    <col min="7" max="16384" width="9.140625" style="101"/>
  </cols>
  <sheetData>
    <row r="1" spans="1:12" s="102" customFormat="1" ht="12">
      <c r="A1" s="182" t="s">
        <v>2579</v>
      </c>
      <c r="B1" s="96"/>
      <c r="C1" s="96"/>
      <c r="D1" s="96"/>
      <c r="E1" s="171"/>
      <c r="F1" s="172"/>
    </row>
    <row r="2" spans="1:12" s="102" customFormat="1" ht="12">
      <c r="A2" s="179"/>
      <c r="B2" s="97"/>
      <c r="C2" s="97"/>
      <c r="D2" s="97"/>
      <c r="E2" s="173"/>
      <c r="F2" s="174"/>
    </row>
    <row r="3" spans="1:12" s="102" customFormat="1" ht="12">
      <c r="A3" s="179" t="s">
        <v>2438</v>
      </c>
      <c r="B3" s="97"/>
      <c r="C3" s="97"/>
      <c r="D3" s="97"/>
      <c r="E3" s="173"/>
      <c r="F3" s="174"/>
    </row>
    <row r="4" spans="1:12" s="102" customFormat="1" ht="12">
      <c r="A4" s="179"/>
      <c r="B4" s="97"/>
      <c r="C4" s="97"/>
      <c r="D4" s="97"/>
      <c r="E4" s="173"/>
      <c r="F4" s="174"/>
    </row>
    <row r="5" spans="1:12" s="102" customFormat="1" ht="12">
      <c r="A5" s="183" t="s">
        <v>2468</v>
      </c>
      <c r="B5" s="184"/>
      <c r="C5" s="97"/>
      <c r="D5" s="97"/>
      <c r="E5" s="173"/>
      <c r="F5" s="174"/>
      <c r="H5" s="101"/>
      <c r="I5" s="101"/>
      <c r="J5" s="101"/>
      <c r="K5" s="101"/>
    </row>
    <row r="6" spans="1:12" s="102" customFormat="1" ht="12">
      <c r="A6" s="183"/>
      <c r="B6" s="184"/>
      <c r="C6" s="97"/>
      <c r="D6" s="97"/>
      <c r="E6" s="173"/>
      <c r="F6" s="174"/>
      <c r="H6" s="101"/>
      <c r="J6" s="101"/>
      <c r="K6" s="101"/>
    </row>
    <row r="7" spans="1:12" ht="12">
      <c r="A7" s="175"/>
      <c r="B7" s="176" t="s">
        <v>2467</v>
      </c>
      <c r="C7" s="176"/>
      <c r="D7" s="97"/>
      <c r="E7" s="177"/>
      <c r="F7" s="178"/>
    </row>
    <row r="8" spans="1:12" ht="12">
      <c r="A8" s="175"/>
      <c r="B8" s="176"/>
      <c r="C8" s="176"/>
      <c r="D8" s="97"/>
      <c r="E8" s="177"/>
      <c r="F8" s="178"/>
    </row>
    <row r="9" spans="1:12" ht="12">
      <c r="A9" s="185" t="s">
        <v>2440</v>
      </c>
      <c r="B9" s="186"/>
      <c r="C9" s="186"/>
      <c r="D9" s="186"/>
      <c r="E9" s="177"/>
      <c r="F9" s="178"/>
      <c r="H9" s="102"/>
    </row>
    <row r="10" spans="1:12" s="102" customFormat="1" ht="12">
      <c r="A10" s="179"/>
      <c r="E10" s="173"/>
      <c r="F10" s="174"/>
      <c r="H10" s="101"/>
      <c r="I10" s="101"/>
      <c r="L10" s="168"/>
    </row>
    <row r="11" spans="1:12" s="102" customFormat="1" ht="12">
      <c r="A11" s="175" t="s">
        <v>2469</v>
      </c>
      <c r="E11" s="173"/>
      <c r="F11" s="174"/>
    </row>
    <row r="12" spans="1:12" s="102" customFormat="1" ht="12">
      <c r="A12" s="119"/>
      <c r="B12" s="97"/>
      <c r="C12" s="97"/>
      <c r="D12" s="97"/>
      <c r="E12" s="173"/>
      <c r="F12" s="174"/>
    </row>
    <row r="13" spans="1:12" s="102" customFormat="1" ht="12">
      <c r="A13" s="179" t="s">
        <v>2474</v>
      </c>
      <c r="B13" s="97"/>
      <c r="C13" s="97"/>
      <c r="D13" s="97"/>
      <c r="E13" s="173"/>
      <c r="F13" s="174"/>
    </row>
    <row r="14" spans="1:12" s="102" customFormat="1" ht="12">
      <c r="A14" s="179"/>
      <c r="B14" s="97"/>
      <c r="C14" s="97"/>
      <c r="D14" s="97"/>
      <c r="E14" s="173"/>
      <c r="F14" s="174"/>
      <c r="L14" s="168"/>
    </row>
    <row r="15" spans="1:12" s="102" customFormat="1" ht="12">
      <c r="A15" s="179" t="s">
        <v>2444</v>
      </c>
      <c r="B15" s="97"/>
      <c r="C15" s="97"/>
      <c r="D15" s="97"/>
      <c r="E15" s="173"/>
      <c r="F15" s="174"/>
      <c r="H15" s="167"/>
    </row>
    <row r="16" spans="1:12" s="102" customFormat="1" ht="12">
      <c r="A16" s="179"/>
      <c r="B16" s="97"/>
      <c r="C16" s="97"/>
      <c r="D16" s="97"/>
      <c r="E16" s="173"/>
      <c r="F16" s="174"/>
    </row>
    <row r="17" spans="1:6" s="102" customFormat="1" ht="12">
      <c r="A17" s="179" t="s">
        <v>2475</v>
      </c>
      <c r="B17" s="97"/>
      <c r="C17" s="97"/>
      <c r="D17" s="97"/>
      <c r="E17" s="173"/>
      <c r="F17" s="174"/>
    </row>
    <row r="18" spans="1:6" s="102" customFormat="1" ht="12">
      <c r="A18" s="179"/>
      <c r="B18" s="97"/>
      <c r="C18" s="97"/>
      <c r="D18" s="97"/>
      <c r="E18" s="173"/>
      <c r="F18" s="174"/>
    </row>
    <row r="19" spans="1:6" s="102" customFormat="1" ht="12">
      <c r="A19" s="179"/>
      <c r="B19" s="97" t="s">
        <v>2476</v>
      </c>
      <c r="C19" s="97"/>
      <c r="D19" s="97"/>
      <c r="E19" s="173"/>
      <c r="F19" s="174"/>
    </row>
    <row r="20" spans="1:6" s="102" customFormat="1" ht="12">
      <c r="A20" s="179"/>
      <c r="D20" s="97"/>
      <c r="E20" s="173"/>
      <c r="F20" s="174"/>
    </row>
    <row r="21" spans="1:6" s="102" customFormat="1" ht="12">
      <c r="A21" s="179"/>
      <c r="C21" s="97" t="s">
        <v>2473</v>
      </c>
      <c r="D21" s="97"/>
      <c r="E21" s="173"/>
      <c r="F21" s="174"/>
    </row>
    <row r="22" spans="1:6" s="102" customFormat="1" ht="12">
      <c r="A22" s="179"/>
      <c r="F22" s="174"/>
    </row>
    <row r="23" spans="1:6" s="102" customFormat="1" ht="12">
      <c r="A23" s="179"/>
      <c r="C23" s="97" t="s">
        <v>2472</v>
      </c>
      <c r="D23" s="97"/>
      <c r="E23" s="173"/>
      <c r="F23" s="174"/>
    </row>
    <row r="24" spans="1:6" s="102" customFormat="1" ht="12">
      <c r="A24" s="179"/>
      <c r="D24" s="97"/>
      <c r="E24" s="173"/>
      <c r="F24" s="174"/>
    </row>
    <row r="25" spans="1:6" s="102" customFormat="1" ht="12">
      <c r="A25" s="179"/>
      <c r="C25" s="189" t="s">
        <v>2470</v>
      </c>
      <c r="D25" s="97"/>
      <c r="E25" s="173"/>
      <c r="F25" s="174"/>
    </row>
    <row r="26" spans="1:6" s="102" customFormat="1" ht="12">
      <c r="A26" s="179"/>
      <c r="B26" s="97"/>
      <c r="C26" s="97"/>
      <c r="D26" s="97"/>
      <c r="E26" s="173"/>
      <c r="F26" s="174"/>
    </row>
    <row r="27" spans="1:6" s="102" customFormat="1" ht="12">
      <c r="A27" s="179"/>
      <c r="B27" s="97" t="s">
        <v>2477</v>
      </c>
      <c r="C27" s="97"/>
      <c r="D27" s="97"/>
      <c r="E27" s="173"/>
      <c r="F27" s="174"/>
    </row>
    <row r="28" spans="1:6" s="102" customFormat="1" ht="12">
      <c r="A28" s="179"/>
      <c r="B28" s="97"/>
      <c r="C28" s="97"/>
      <c r="D28" s="97"/>
      <c r="E28" s="173"/>
      <c r="F28" s="174"/>
    </row>
    <row r="29" spans="1:6" s="102" customFormat="1" ht="12">
      <c r="A29" s="179"/>
      <c r="B29" s="97" t="s">
        <v>2478</v>
      </c>
      <c r="C29" s="97"/>
      <c r="D29" s="97"/>
      <c r="E29" s="173"/>
      <c r="F29" s="174"/>
    </row>
    <row r="30" spans="1:6" s="102" customFormat="1" ht="12">
      <c r="A30" s="179"/>
      <c r="B30" s="97" t="s">
        <v>2441</v>
      </c>
      <c r="C30" s="97"/>
      <c r="D30" s="187">
        <v>20000</v>
      </c>
      <c r="F30" s="174"/>
    </row>
    <row r="31" spans="1:6" s="102" customFormat="1" ht="12">
      <c r="A31" s="179"/>
      <c r="B31" s="97" t="s">
        <v>2442</v>
      </c>
      <c r="C31" s="97"/>
      <c r="D31" s="187">
        <v>-15000</v>
      </c>
      <c r="F31" s="174"/>
    </row>
    <row r="32" spans="1:6" s="102" customFormat="1" ht="12">
      <c r="A32" s="179"/>
      <c r="B32" s="97"/>
      <c r="C32" s="97"/>
      <c r="D32" s="97"/>
      <c r="E32" s="173"/>
      <c r="F32" s="174"/>
    </row>
    <row r="33" spans="1:15" s="102" customFormat="1" ht="12">
      <c r="A33" s="179"/>
      <c r="B33" s="97" t="s">
        <v>2479</v>
      </c>
      <c r="C33" s="97"/>
      <c r="D33" s="97"/>
      <c r="E33" s="173"/>
      <c r="F33" s="174"/>
    </row>
    <row r="34" spans="1:15" s="102" customFormat="1" ht="12">
      <c r="A34" s="179"/>
      <c r="B34" s="97" t="s">
        <v>2443</v>
      </c>
      <c r="C34" s="97"/>
      <c r="D34" s="97"/>
      <c r="E34" s="173"/>
      <c r="F34" s="174"/>
      <c r="H34" s="170"/>
    </row>
    <row r="35" spans="1:15" s="102" customFormat="1" ht="12">
      <c r="A35" s="179"/>
      <c r="B35" s="97" t="s">
        <v>2484</v>
      </c>
      <c r="C35" s="97"/>
      <c r="D35" s="97"/>
      <c r="E35" s="173"/>
      <c r="F35" s="174"/>
      <c r="H35" s="170"/>
    </row>
    <row r="36" spans="1:15" s="102" customFormat="1" ht="12">
      <c r="A36" s="179"/>
      <c r="B36" s="97"/>
      <c r="C36" s="97"/>
      <c r="D36" s="97"/>
      <c r="E36" s="173"/>
      <c r="F36" s="174"/>
      <c r="O36" s="169"/>
    </row>
    <row r="37" spans="1:15" s="102" customFormat="1" ht="12">
      <c r="A37" s="179"/>
      <c r="B37" s="97" t="s">
        <v>2480</v>
      </c>
      <c r="C37" s="97"/>
      <c r="D37" s="97"/>
      <c r="E37" s="173"/>
      <c r="F37" s="174"/>
    </row>
    <row r="38" spans="1:15" s="102" customFormat="1" ht="12">
      <c r="A38" s="179"/>
      <c r="B38" s="97"/>
      <c r="C38" s="97"/>
      <c r="D38" s="97"/>
      <c r="E38" s="173"/>
      <c r="F38" s="174"/>
    </row>
    <row r="39" spans="1:15" s="102" customFormat="1" ht="12">
      <c r="A39" s="179" t="s">
        <v>2481</v>
      </c>
      <c r="B39" s="97"/>
      <c r="C39" s="97"/>
      <c r="D39" s="97"/>
      <c r="E39" s="173"/>
      <c r="F39" s="174"/>
      <c r="O39" s="169"/>
    </row>
    <row r="40" spans="1:15" s="102" customFormat="1" ht="12">
      <c r="A40" s="179"/>
      <c r="B40" s="97"/>
      <c r="C40" s="97"/>
      <c r="D40" s="97"/>
      <c r="E40" s="173"/>
      <c r="F40" s="174"/>
    </row>
    <row r="41" spans="1:15" s="102" customFormat="1" ht="12">
      <c r="A41" s="179"/>
      <c r="B41" s="97" t="s">
        <v>2482</v>
      </c>
      <c r="C41" s="97"/>
      <c r="D41" s="97"/>
      <c r="E41" s="173"/>
      <c r="F41" s="174"/>
    </row>
    <row r="42" spans="1:15" s="102" customFormat="1" ht="12">
      <c r="A42" s="179"/>
      <c r="B42" s="97"/>
      <c r="C42" s="97"/>
      <c r="D42" s="97"/>
      <c r="E42" s="173"/>
      <c r="F42" s="174"/>
    </row>
    <row r="43" spans="1:15" s="102" customFormat="1" ht="12">
      <c r="A43" s="179" t="s">
        <v>2483</v>
      </c>
      <c r="C43" s="97"/>
      <c r="D43" s="97"/>
      <c r="E43" s="173"/>
      <c r="F43" s="174"/>
    </row>
    <row r="44" spans="1:15" s="102" customFormat="1" ht="12">
      <c r="A44" s="179"/>
      <c r="B44" s="97"/>
      <c r="C44" s="97"/>
      <c r="D44" s="97"/>
      <c r="E44" s="173"/>
      <c r="F44" s="174"/>
    </row>
    <row r="45" spans="1:15" s="102" customFormat="1" ht="12">
      <c r="A45" s="179" t="s">
        <v>2439</v>
      </c>
      <c r="B45" s="97"/>
      <c r="C45" s="97"/>
      <c r="D45" s="97"/>
      <c r="E45" s="173"/>
      <c r="F45" s="174"/>
    </row>
    <row r="46" spans="1:15" s="102" customFormat="1" ht="12">
      <c r="A46" s="188" t="s">
        <v>2426</v>
      </c>
      <c r="B46" s="98"/>
      <c r="C46" s="98"/>
      <c r="D46" s="98"/>
      <c r="E46" s="180"/>
      <c r="F46" s="181"/>
    </row>
    <row r="48" spans="1:15">
      <c r="A48" s="113"/>
      <c r="B48" s="114"/>
      <c r="C48" s="114"/>
      <c r="D48" s="114"/>
      <c r="E48" s="121"/>
      <c r="F48" s="114"/>
    </row>
    <row r="49" spans="1:6">
      <c r="A49" s="115"/>
      <c r="B49" s="116"/>
      <c r="C49" s="116"/>
      <c r="D49" s="115"/>
      <c r="E49" s="122" t="s">
        <v>2445</v>
      </c>
      <c r="F49" s="115" t="s">
        <v>2426</v>
      </c>
    </row>
    <row r="50" spans="1:6">
      <c r="A50" s="115"/>
      <c r="B50" s="116"/>
      <c r="C50" s="116"/>
      <c r="D50" s="115"/>
      <c r="E50" s="122" t="s">
        <v>2425</v>
      </c>
      <c r="F50" s="115" t="s">
        <v>2427</v>
      </c>
    </row>
    <row r="51" spans="1:6">
      <c r="A51" s="115" t="s">
        <v>2417</v>
      </c>
      <c r="B51" s="116" t="s">
        <v>2423</v>
      </c>
      <c r="C51" s="116" t="s">
        <v>2424</v>
      </c>
      <c r="D51" s="115" t="s">
        <v>2425</v>
      </c>
      <c r="E51" s="122" t="s">
        <v>2446</v>
      </c>
      <c r="F51" s="115" t="s">
        <v>2428</v>
      </c>
    </row>
    <row r="52" spans="1:6">
      <c r="A52" s="117"/>
      <c r="B52" s="118"/>
      <c r="C52" s="118"/>
      <c r="D52" s="117"/>
      <c r="E52" s="123"/>
      <c r="F52" s="117"/>
    </row>
    <row r="53" spans="1:6">
      <c r="A53" s="106">
        <v>10</v>
      </c>
      <c r="B53" s="107" t="s">
        <v>2422</v>
      </c>
      <c r="C53" s="108" t="s">
        <v>0</v>
      </c>
      <c r="D53" s="107" t="s">
        <v>2429</v>
      </c>
      <c r="E53" s="107"/>
      <c r="F53" s="107"/>
    </row>
    <row r="54" spans="1:6">
      <c r="A54" s="106">
        <v>10</v>
      </c>
      <c r="B54" s="107" t="s">
        <v>2422</v>
      </c>
      <c r="C54" s="108" t="s">
        <v>1</v>
      </c>
      <c r="D54" s="107" t="s">
        <v>2430</v>
      </c>
      <c r="E54" s="124"/>
      <c r="F54" s="107"/>
    </row>
    <row r="55" spans="1:6">
      <c r="A55" s="106">
        <v>10</v>
      </c>
      <c r="B55" s="107" t="s">
        <v>2422</v>
      </c>
      <c r="C55" s="108" t="s">
        <v>2</v>
      </c>
      <c r="D55" s="107" t="s">
        <v>2430</v>
      </c>
      <c r="E55" s="124"/>
      <c r="F55" s="107"/>
    </row>
    <row r="56" spans="1:6">
      <c r="A56" s="106">
        <v>10</v>
      </c>
      <c r="B56" s="107" t="s">
        <v>2422</v>
      </c>
      <c r="C56" s="108" t="s">
        <v>3</v>
      </c>
      <c r="D56" s="107" t="s">
        <v>2431</v>
      </c>
      <c r="E56" s="124"/>
      <c r="F56" s="107"/>
    </row>
    <row r="57" spans="1:6">
      <c r="A57" s="106">
        <v>10</v>
      </c>
      <c r="B57" s="107" t="s">
        <v>2422</v>
      </c>
      <c r="C57" s="108" t="s">
        <v>4</v>
      </c>
      <c r="D57" s="107" t="s">
        <v>2430</v>
      </c>
      <c r="E57" s="124"/>
      <c r="F57" s="107"/>
    </row>
    <row r="58" spans="1:6">
      <c r="A58" s="106">
        <v>10</v>
      </c>
      <c r="B58" s="107" t="s">
        <v>2422</v>
      </c>
      <c r="C58" s="108" t="s">
        <v>5</v>
      </c>
      <c r="D58" s="107" t="s">
        <v>2432</v>
      </c>
      <c r="E58" s="124"/>
      <c r="F58" s="107"/>
    </row>
    <row r="59" spans="1:6">
      <c r="A59" s="106">
        <v>10</v>
      </c>
      <c r="B59" s="107" t="s">
        <v>2422</v>
      </c>
      <c r="C59" s="108" t="s">
        <v>6</v>
      </c>
      <c r="D59" s="107" t="s">
        <v>2432</v>
      </c>
      <c r="E59" s="124"/>
      <c r="F59" s="107"/>
    </row>
    <row r="60" spans="1:6">
      <c r="A60" s="106">
        <v>10</v>
      </c>
      <c r="B60" s="107" t="s">
        <v>2422</v>
      </c>
      <c r="C60" s="108" t="s">
        <v>7</v>
      </c>
      <c r="D60" s="107" t="s">
        <v>2432</v>
      </c>
      <c r="E60" s="124"/>
      <c r="F60" s="107"/>
    </row>
    <row r="61" spans="1:6">
      <c r="A61" s="106">
        <v>10</v>
      </c>
      <c r="B61" s="107" t="s">
        <v>2422</v>
      </c>
      <c r="C61" s="108" t="s">
        <v>8</v>
      </c>
      <c r="D61" s="107" t="s">
        <v>2433</v>
      </c>
      <c r="E61" s="124"/>
      <c r="F61" s="107"/>
    </row>
    <row r="62" spans="1:6">
      <c r="A62" s="106">
        <v>10</v>
      </c>
      <c r="B62" s="107" t="s">
        <v>2422</v>
      </c>
      <c r="C62" s="108" t="s">
        <v>9</v>
      </c>
      <c r="D62" s="107" t="s">
        <v>2434</v>
      </c>
      <c r="E62" s="124"/>
      <c r="F62" s="107"/>
    </row>
    <row r="63" spans="1:6">
      <c r="A63" s="106">
        <v>10</v>
      </c>
      <c r="B63" s="107" t="s">
        <v>2422</v>
      </c>
      <c r="C63" s="108" t="s">
        <v>10</v>
      </c>
      <c r="D63" s="107" t="s">
        <v>2432</v>
      </c>
      <c r="E63" s="124"/>
      <c r="F63" s="107"/>
    </row>
    <row r="64" spans="1:6">
      <c r="A64" s="106">
        <v>10</v>
      </c>
      <c r="B64" s="107" t="s">
        <v>2422</v>
      </c>
      <c r="C64" s="108" t="s">
        <v>11</v>
      </c>
      <c r="D64" s="107" t="s">
        <v>2435</v>
      </c>
      <c r="E64" s="124"/>
      <c r="F64" s="107"/>
    </row>
    <row r="65" spans="1:6">
      <c r="A65" s="106">
        <v>10</v>
      </c>
      <c r="B65" s="107" t="s">
        <v>2422</v>
      </c>
      <c r="C65" s="108" t="s">
        <v>2114</v>
      </c>
      <c r="D65" s="107" t="s">
        <v>2430</v>
      </c>
      <c r="E65" s="124"/>
      <c r="F65" s="107"/>
    </row>
    <row r="66" spans="1:6">
      <c r="A66" s="106">
        <v>10</v>
      </c>
      <c r="B66" s="107" t="s">
        <v>2422</v>
      </c>
      <c r="C66" s="108" t="s">
        <v>12</v>
      </c>
      <c r="D66" s="107" t="s">
        <v>2434</v>
      </c>
      <c r="E66" s="124"/>
      <c r="F66" s="107"/>
    </row>
    <row r="67" spans="1:6">
      <c r="A67" s="106">
        <v>10</v>
      </c>
      <c r="B67" s="107" t="s">
        <v>2422</v>
      </c>
      <c r="C67" s="108" t="s">
        <v>13</v>
      </c>
      <c r="D67" s="107" t="s">
        <v>2432</v>
      </c>
      <c r="E67" s="124"/>
      <c r="F67" s="107"/>
    </row>
    <row r="68" spans="1:6">
      <c r="A68" s="106">
        <v>10</v>
      </c>
      <c r="B68" s="107" t="s">
        <v>2422</v>
      </c>
      <c r="C68" s="108" t="s">
        <v>14</v>
      </c>
      <c r="D68" s="107" t="s">
        <v>2431</v>
      </c>
      <c r="E68" s="124"/>
      <c r="F68" s="107"/>
    </row>
    <row r="69" spans="1:6">
      <c r="A69" s="106">
        <v>10</v>
      </c>
      <c r="B69" s="107" t="s">
        <v>2422</v>
      </c>
      <c r="C69" s="108" t="s">
        <v>15</v>
      </c>
      <c r="D69" s="107" t="s">
        <v>2426</v>
      </c>
      <c r="E69" s="124"/>
      <c r="F69" s="107"/>
    </row>
    <row r="70" spans="1:6">
      <c r="A70" s="106">
        <v>10</v>
      </c>
      <c r="B70" s="107" t="s">
        <v>2422</v>
      </c>
      <c r="C70" s="108" t="s">
        <v>2161</v>
      </c>
      <c r="D70" s="107" t="s">
        <v>2436</v>
      </c>
      <c r="E70" s="124"/>
      <c r="F70" s="107"/>
    </row>
    <row r="71" spans="1:6">
      <c r="A71" s="106">
        <v>10</v>
      </c>
      <c r="B71" s="107" t="s">
        <v>2422</v>
      </c>
      <c r="C71" s="108" t="s">
        <v>16</v>
      </c>
      <c r="D71" s="107" t="s">
        <v>2432</v>
      </c>
      <c r="E71" s="124"/>
      <c r="F71" s="107"/>
    </row>
    <row r="72" spans="1:6">
      <c r="A72" s="106">
        <v>10</v>
      </c>
      <c r="B72" s="107" t="s">
        <v>2422</v>
      </c>
      <c r="C72" s="108" t="s">
        <v>17</v>
      </c>
      <c r="D72" s="107" t="s">
        <v>2430</v>
      </c>
      <c r="E72" s="124"/>
      <c r="F72" s="107"/>
    </row>
    <row r="73" spans="1:6">
      <c r="A73" s="106">
        <v>10</v>
      </c>
      <c r="B73" s="107" t="s">
        <v>2422</v>
      </c>
      <c r="C73" s="108" t="s">
        <v>18</v>
      </c>
      <c r="D73" s="107" t="s">
        <v>2437</v>
      </c>
      <c r="E73" s="124"/>
      <c r="F73" s="107"/>
    </row>
    <row r="74" spans="1:6">
      <c r="A74" s="109"/>
      <c r="B74" s="107"/>
      <c r="C74" s="107"/>
      <c r="D74" s="107"/>
      <c r="E74" s="107"/>
      <c r="F74" s="107"/>
    </row>
    <row r="75" spans="1:6">
      <c r="A75" s="106">
        <v>20</v>
      </c>
      <c r="B75" s="107" t="s">
        <v>2421</v>
      </c>
      <c r="C75" s="108" t="s">
        <v>1307</v>
      </c>
      <c r="D75" s="107" t="s">
        <v>2426</v>
      </c>
      <c r="E75" s="124"/>
      <c r="F75" s="107"/>
    </row>
    <row r="76" spans="1:6">
      <c r="A76" s="106">
        <v>20</v>
      </c>
      <c r="B76" s="107" t="s">
        <v>2421</v>
      </c>
      <c r="C76" s="108" t="s">
        <v>1308</v>
      </c>
      <c r="D76" s="107" t="s">
        <v>2432</v>
      </c>
      <c r="E76" s="124"/>
      <c r="F76" s="107"/>
    </row>
    <row r="77" spans="1:6">
      <c r="A77" s="106">
        <v>20</v>
      </c>
      <c r="B77" s="107" t="s">
        <v>2421</v>
      </c>
      <c r="C77" s="108" t="s">
        <v>1309</v>
      </c>
      <c r="D77" s="107" t="s">
        <v>2432</v>
      </c>
      <c r="E77" s="124"/>
      <c r="F77" s="107"/>
    </row>
    <row r="78" spans="1:6">
      <c r="A78" s="106">
        <v>20</v>
      </c>
      <c r="B78" s="107" t="s">
        <v>2421</v>
      </c>
      <c r="C78" s="108" t="s">
        <v>1310</v>
      </c>
      <c r="D78" s="107" t="s">
        <v>2432</v>
      </c>
      <c r="E78" s="124"/>
      <c r="F78" s="107"/>
    </row>
    <row r="79" spans="1:6">
      <c r="A79" s="106">
        <v>20</v>
      </c>
      <c r="B79" s="107" t="s">
        <v>2421</v>
      </c>
      <c r="C79" s="108" t="s">
        <v>1311</v>
      </c>
      <c r="D79" s="107" t="s">
        <v>2430</v>
      </c>
      <c r="E79" s="124"/>
      <c r="F79" s="107"/>
    </row>
    <row r="80" spans="1:6">
      <c r="A80" s="106">
        <v>20</v>
      </c>
      <c r="B80" s="107" t="s">
        <v>2421</v>
      </c>
      <c r="C80" s="108" t="s">
        <v>1312</v>
      </c>
      <c r="D80" s="107" t="s">
        <v>2426</v>
      </c>
      <c r="E80" s="124"/>
      <c r="F80" s="107"/>
    </row>
    <row r="81" spans="1:6">
      <c r="A81" s="106">
        <v>20</v>
      </c>
      <c r="B81" s="107" t="s">
        <v>2421</v>
      </c>
      <c r="C81" s="108" t="s">
        <v>1313</v>
      </c>
      <c r="D81" s="107" t="s">
        <v>2426</v>
      </c>
      <c r="E81" s="124"/>
      <c r="F81" s="107"/>
    </row>
    <row r="82" spans="1:6">
      <c r="A82" s="109"/>
      <c r="B82" s="107"/>
      <c r="C82" s="107"/>
      <c r="D82" s="107"/>
      <c r="E82" s="107"/>
      <c r="F82" s="107"/>
    </row>
    <row r="83" spans="1:6">
      <c r="A83" s="106">
        <v>40</v>
      </c>
      <c r="B83" s="108" t="s">
        <v>2420</v>
      </c>
      <c r="C83" s="108" t="s">
        <v>1986</v>
      </c>
      <c r="D83" s="107" t="s">
        <v>2433</v>
      </c>
      <c r="E83" s="124"/>
      <c r="F83" s="107"/>
    </row>
    <row r="84" spans="1:6">
      <c r="A84" s="106">
        <v>40</v>
      </c>
      <c r="B84" s="108" t="s">
        <v>2420</v>
      </c>
      <c r="C84" s="108" t="s">
        <v>1987</v>
      </c>
      <c r="D84" s="107" t="s">
        <v>2434</v>
      </c>
      <c r="E84" s="124"/>
      <c r="F84" s="107"/>
    </row>
    <row r="85" spans="1:6">
      <c r="A85" s="106">
        <v>40</v>
      </c>
      <c r="B85" s="108" t="s">
        <v>2420</v>
      </c>
      <c r="C85" s="108" t="s">
        <v>1990</v>
      </c>
      <c r="D85" s="107" t="s">
        <v>2434</v>
      </c>
      <c r="E85" s="124"/>
      <c r="F85" s="107"/>
    </row>
    <row r="86" spans="1:6">
      <c r="A86" s="106">
        <v>40</v>
      </c>
      <c r="B86" s="108" t="s">
        <v>2420</v>
      </c>
      <c r="C86" s="108" t="s">
        <v>1994</v>
      </c>
      <c r="D86" s="107" t="s">
        <v>2436</v>
      </c>
      <c r="E86" s="124"/>
      <c r="F86" s="107"/>
    </row>
    <row r="87" spans="1:6">
      <c r="A87" s="109"/>
      <c r="B87" s="107"/>
      <c r="C87" s="107"/>
      <c r="D87" s="107"/>
      <c r="E87" s="107"/>
      <c r="F87" s="107"/>
    </row>
    <row r="88" spans="1:6">
      <c r="A88" s="106">
        <v>41</v>
      </c>
      <c r="B88" s="108" t="s">
        <v>2418</v>
      </c>
      <c r="C88" s="108" t="s">
        <v>1994</v>
      </c>
      <c r="D88" s="107" t="s">
        <v>2436</v>
      </c>
      <c r="E88" s="124"/>
      <c r="F88" s="107"/>
    </row>
    <row r="89" spans="1:6">
      <c r="A89" s="109"/>
      <c r="B89" s="107"/>
      <c r="C89" s="107"/>
      <c r="D89" s="107"/>
      <c r="E89" s="107"/>
      <c r="F89" s="107"/>
    </row>
    <row r="90" spans="1:6">
      <c r="A90" s="106">
        <v>42</v>
      </c>
      <c r="B90" s="108" t="s">
        <v>2419</v>
      </c>
      <c r="C90" s="108" t="s">
        <v>1994</v>
      </c>
      <c r="D90" s="107" t="s">
        <v>2436</v>
      </c>
      <c r="E90" s="124"/>
      <c r="F90" s="107"/>
    </row>
    <row r="93" spans="1:6">
      <c r="A93" s="159" t="s">
        <v>2471</v>
      </c>
      <c r="B93" s="110"/>
      <c r="C93" s="110"/>
      <c r="D93" s="110"/>
      <c r="E93" s="160"/>
      <c r="F93" s="111"/>
    </row>
    <row r="94" spans="1:6">
      <c r="A94" s="158"/>
      <c r="F94" s="112"/>
    </row>
    <row r="95" spans="1:6">
      <c r="A95" s="161"/>
      <c r="B95" s="103"/>
      <c r="C95" s="103"/>
      <c r="D95" s="103"/>
      <c r="E95" s="125"/>
      <c r="F95" s="162"/>
    </row>
    <row r="96" spans="1:6">
      <c r="A96" s="161"/>
      <c r="B96" s="103"/>
      <c r="C96" s="103"/>
      <c r="D96" s="103"/>
      <c r="E96" s="125"/>
      <c r="F96" s="162"/>
    </row>
    <row r="97" spans="1:6">
      <c r="A97" s="161"/>
      <c r="B97" s="103"/>
      <c r="C97" s="103"/>
      <c r="D97" s="103"/>
      <c r="E97" s="125"/>
      <c r="F97" s="162"/>
    </row>
    <row r="98" spans="1:6">
      <c r="A98" s="161"/>
      <c r="B98" s="103"/>
      <c r="C98" s="103"/>
      <c r="D98" s="103"/>
      <c r="E98" s="125"/>
      <c r="F98" s="162"/>
    </row>
    <row r="99" spans="1:6">
      <c r="A99" s="161"/>
      <c r="B99" s="103"/>
      <c r="C99" s="103"/>
      <c r="D99" s="103"/>
      <c r="E99" s="125"/>
      <c r="F99" s="162"/>
    </row>
    <row r="100" spans="1:6">
      <c r="A100" s="161"/>
      <c r="B100" s="103"/>
      <c r="C100" s="103"/>
      <c r="D100" s="103"/>
      <c r="E100" s="125"/>
      <c r="F100" s="162"/>
    </row>
    <row r="101" spans="1:6">
      <c r="A101" s="161"/>
      <c r="B101" s="103"/>
      <c r="C101" s="103"/>
      <c r="D101" s="103"/>
      <c r="E101" s="125"/>
      <c r="F101" s="162"/>
    </row>
    <row r="102" spans="1:6">
      <c r="A102" s="161"/>
      <c r="B102" s="103"/>
      <c r="C102" s="103"/>
      <c r="D102" s="103"/>
      <c r="E102" s="125"/>
      <c r="F102" s="162"/>
    </row>
    <row r="103" spans="1:6">
      <c r="A103" s="161"/>
      <c r="B103" s="103"/>
      <c r="C103" s="103"/>
      <c r="D103" s="103"/>
      <c r="E103" s="125"/>
      <c r="F103" s="162"/>
    </row>
    <row r="104" spans="1:6">
      <c r="A104" s="161"/>
      <c r="B104" s="103"/>
      <c r="C104" s="103"/>
      <c r="D104" s="103"/>
      <c r="E104" s="125"/>
      <c r="F104" s="162"/>
    </row>
    <row r="105" spans="1:6">
      <c r="A105" s="161"/>
      <c r="B105" s="103"/>
      <c r="C105" s="103"/>
      <c r="D105" s="103"/>
      <c r="E105" s="125"/>
      <c r="F105" s="162"/>
    </row>
    <row r="106" spans="1:6">
      <c r="A106" s="161"/>
      <c r="B106" s="103"/>
      <c r="C106" s="103"/>
      <c r="D106" s="103"/>
      <c r="E106" s="125"/>
      <c r="F106" s="162"/>
    </row>
    <row r="107" spans="1:6">
      <c r="A107" s="161"/>
      <c r="B107" s="103"/>
      <c r="C107" s="103"/>
      <c r="D107" s="103"/>
      <c r="E107" s="125"/>
      <c r="F107" s="162"/>
    </row>
    <row r="108" spans="1:6">
      <c r="A108" s="161"/>
      <c r="B108" s="103"/>
      <c r="C108" s="103"/>
      <c r="D108" s="103"/>
      <c r="E108" s="125"/>
      <c r="F108" s="162"/>
    </row>
    <row r="109" spans="1:6">
      <c r="A109" s="161"/>
      <c r="B109" s="103"/>
      <c r="C109" s="103"/>
      <c r="D109" s="103"/>
      <c r="E109" s="125"/>
      <c r="F109" s="162"/>
    </row>
    <row r="110" spans="1:6">
      <c r="A110" s="161"/>
      <c r="B110" s="103"/>
      <c r="C110" s="103"/>
      <c r="D110" s="103"/>
      <c r="E110" s="125"/>
      <c r="F110" s="162"/>
    </row>
    <row r="111" spans="1:6">
      <c r="A111" s="161"/>
      <c r="B111" s="103"/>
      <c r="C111" s="103"/>
      <c r="D111" s="103"/>
      <c r="E111" s="125"/>
      <c r="F111" s="162"/>
    </row>
    <row r="112" spans="1:6">
      <c r="A112" s="161"/>
      <c r="B112" s="103"/>
      <c r="C112" s="103"/>
      <c r="D112" s="103"/>
      <c r="E112" s="125"/>
      <c r="F112" s="162"/>
    </row>
    <row r="113" spans="1:6">
      <c r="A113" s="161"/>
      <c r="B113" s="103"/>
      <c r="C113" s="103"/>
      <c r="D113" s="103"/>
      <c r="E113" s="125"/>
      <c r="F113" s="162"/>
    </row>
    <row r="114" spans="1:6">
      <c r="A114" s="161"/>
      <c r="B114" s="103"/>
      <c r="C114" s="103"/>
      <c r="D114" s="103"/>
      <c r="E114" s="125"/>
      <c r="F114" s="162"/>
    </row>
    <row r="115" spans="1:6">
      <c r="A115" s="161"/>
      <c r="B115" s="103"/>
      <c r="C115" s="103"/>
      <c r="D115" s="103"/>
      <c r="E115" s="125"/>
      <c r="F115" s="162"/>
    </row>
    <row r="116" spans="1:6">
      <c r="A116" s="161"/>
      <c r="B116" s="103"/>
      <c r="C116" s="103"/>
      <c r="D116" s="103"/>
      <c r="E116" s="125"/>
      <c r="F116" s="162"/>
    </row>
    <row r="117" spans="1:6">
      <c r="A117" s="161"/>
      <c r="B117" s="103"/>
      <c r="C117" s="103"/>
      <c r="D117" s="103"/>
      <c r="E117" s="125"/>
      <c r="F117" s="162"/>
    </row>
    <row r="118" spans="1:6">
      <c r="A118" s="161"/>
      <c r="B118" s="103"/>
      <c r="C118" s="103"/>
      <c r="D118" s="103"/>
      <c r="E118" s="125"/>
      <c r="F118" s="162"/>
    </row>
    <row r="119" spans="1:6">
      <c r="A119" s="161"/>
      <c r="B119" s="103"/>
      <c r="C119" s="103"/>
      <c r="D119" s="103"/>
      <c r="E119" s="125"/>
      <c r="F119" s="162"/>
    </row>
    <row r="120" spans="1:6">
      <c r="A120" s="163"/>
      <c r="B120" s="164"/>
      <c r="C120" s="164"/>
      <c r="D120" s="164"/>
      <c r="E120" s="165"/>
      <c r="F120" s="166"/>
    </row>
    <row r="121" spans="1:6" s="105" customFormat="1">
      <c r="A121" s="104"/>
      <c r="E121" s="126"/>
    </row>
    <row r="122" spans="1:6" s="105" customFormat="1">
      <c r="A122" s="104"/>
      <c r="E122" s="126"/>
    </row>
    <row r="123" spans="1:6" s="105" customFormat="1">
      <c r="A123" s="104"/>
      <c r="E123" s="126"/>
    </row>
    <row r="124" spans="1:6" s="105" customFormat="1">
      <c r="A124" s="104"/>
      <c r="E124" s="126"/>
    </row>
    <row r="125" spans="1:6" s="105" customFormat="1">
      <c r="A125" s="104"/>
      <c r="E125" s="126"/>
    </row>
    <row r="126" spans="1:6" s="105" customFormat="1">
      <c r="A126" s="104"/>
      <c r="E126" s="126"/>
    </row>
    <row r="127" spans="1:6" s="105" customFormat="1">
      <c r="A127" s="104"/>
      <c r="E127" s="126"/>
    </row>
    <row r="128" spans="1:6" s="105" customFormat="1">
      <c r="A128" s="104"/>
      <c r="E128" s="126"/>
    </row>
    <row r="129" spans="1:5" s="105" customFormat="1">
      <c r="A129" s="104"/>
      <c r="E129" s="126"/>
    </row>
    <row r="130" spans="1:5" s="105" customFormat="1">
      <c r="A130" s="104"/>
      <c r="E130" s="126"/>
    </row>
    <row r="131" spans="1:5" s="105" customFormat="1">
      <c r="A131" s="104"/>
      <c r="E131" s="126"/>
    </row>
    <row r="132" spans="1:5" s="105" customFormat="1">
      <c r="A132" s="104"/>
      <c r="E132" s="126"/>
    </row>
    <row r="133" spans="1:5" s="105" customFormat="1">
      <c r="A133" s="104"/>
      <c r="E133" s="126"/>
    </row>
    <row r="134" spans="1:5" s="105" customFormat="1">
      <c r="A134" s="104"/>
      <c r="E134" s="126"/>
    </row>
    <row r="135" spans="1:5" s="105" customFormat="1">
      <c r="A135" s="104"/>
      <c r="E135" s="126"/>
    </row>
    <row r="136" spans="1:5" s="105" customFormat="1">
      <c r="A136" s="104"/>
      <c r="E136" s="126"/>
    </row>
    <row r="137" spans="1:5" s="105" customFormat="1">
      <c r="A137" s="104"/>
      <c r="E137" s="126"/>
    </row>
    <row r="138" spans="1:5" s="105" customFormat="1">
      <c r="A138" s="104"/>
      <c r="E138" s="126"/>
    </row>
    <row r="139" spans="1:5" s="105" customFormat="1">
      <c r="A139" s="104"/>
      <c r="E139" s="126"/>
    </row>
    <row r="140" spans="1:5" s="105" customFormat="1">
      <c r="A140" s="104"/>
      <c r="E140" s="126"/>
    </row>
    <row r="141" spans="1:5" s="105" customFormat="1">
      <c r="A141" s="104"/>
      <c r="E141" s="126"/>
    </row>
    <row r="142" spans="1:5" s="105" customFormat="1">
      <c r="A142" s="104"/>
      <c r="E142" s="126"/>
    </row>
    <row r="143" spans="1:5" s="105" customFormat="1">
      <c r="A143" s="104"/>
      <c r="E143" s="126"/>
    </row>
    <row r="144" spans="1:5" s="105" customFormat="1">
      <c r="A144" s="104"/>
      <c r="E144" s="126"/>
    </row>
    <row r="145" spans="1:5" s="105" customFormat="1">
      <c r="A145" s="104"/>
      <c r="E145" s="126"/>
    </row>
    <row r="146" spans="1:5" s="105" customFormat="1">
      <c r="A146" s="104"/>
      <c r="E146" s="126"/>
    </row>
    <row r="147" spans="1:5" s="105" customFormat="1">
      <c r="A147" s="104"/>
      <c r="E147" s="126"/>
    </row>
    <row r="148" spans="1:5" s="105" customFormat="1">
      <c r="A148" s="104"/>
      <c r="E148" s="126"/>
    </row>
    <row r="149" spans="1:5" s="105" customFormat="1">
      <c r="A149" s="104"/>
      <c r="E149" s="126"/>
    </row>
    <row r="150" spans="1:5" s="105" customFormat="1">
      <c r="A150" s="104"/>
      <c r="E150" s="126"/>
    </row>
    <row r="151" spans="1:5" s="105" customFormat="1">
      <c r="A151" s="104"/>
      <c r="E151" s="126"/>
    </row>
    <row r="152" spans="1:5" s="105" customFormat="1">
      <c r="A152" s="104"/>
      <c r="E152" s="126"/>
    </row>
    <row r="153" spans="1:5" s="105" customFormat="1">
      <c r="A153" s="104"/>
      <c r="E153" s="126"/>
    </row>
    <row r="154" spans="1:5" s="105" customFormat="1">
      <c r="A154" s="104"/>
      <c r="E154" s="126"/>
    </row>
    <row r="155" spans="1:5" s="105" customFormat="1">
      <c r="A155" s="104"/>
      <c r="E155" s="126"/>
    </row>
    <row r="156" spans="1:5" s="105" customFormat="1">
      <c r="A156" s="104"/>
      <c r="E156" s="126"/>
    </row>
    <row r="157" spans="1:5" s="105" customFormat="1">
      <c r="A157" s="104"/>
      <c r="E157" s="126"/>
    </row>
    <row r="158" spans="1:5" s="105" customFormat="1">
      <c r="A158" s="104"/>
      <c r="E158" s="126"/>
    </row>
    <row r="159" spans="1:5" s="105" customFormat="1">
      <c r="A159" s="104"/>
      <c r="E159" s="126"/>
    </row>
    <row r="160" spans="1:5" s="105" customFormat="1">
      <c r="A160" s="104"/>
      <c r="E160" s="126"/>
    </row>
    <row r="161" spans="1:5" s="105" customFormat="1">
      <c r="A161" s="104"/>
      <c r="E161" s="126"/>
    </row>
    <row r="162" spans="1:5" s="105" customFormat="1">
      <c r="A162" s="104"/>
      <c r="E162" s="126"/>
    </row>
    <row r="163" spans="1:5" s="105" customFormat="1">
      <c r="A163" s="104"/>
      <c r="E163" s="126"/>
    </row>
    <row r="164" spans="1:5" s="105" customFormat="1">
      <c r="A164" s="104"/>
      <c r="E164" s="126"/>
    </row>
    <row r="165" spans="1:5" s="105" customFormat="1">
      <c r="A165" s="104"/>
      <c r="E165" s="126"/>
    </row>
    <row r="166" spans="1:5" s="105" customFormat="1">
      <c r="A166" s="104"/>
      <c r="E166" s="126"/>
    </row>
    <row r="167" spans="1:5" s="105" customFormat="1">
      <c r="A167" s="104"/>
      <c r="E167" s="126"/>
    </row>
    <row r="168" spans="1:5" s="105" customFormat="1">
      <c r="A168" s="104"/>
      <c r="E168" s="126"/>
    </row>
    <row r="169" spans="1:5" s="105" customFormat="1">
      <c r="A169" s="104"/>
      <c r="E169" s="126"/>
    </row>
    <row r="170" spans="1:5" s="105" customFormat="1">
      <c r="A170" s="104"/>
      <c r="E170" s="126"/>
    </row>
    <row r="171" spans="1:5" s="105" customFormat="1">
      <c r="A171" s="104"/>
      <c r="E171" s="126"/>
    </row>
    <row r="172" spans="1:5" s="105" customFormat="1">
      <c r="A172" s="104"/>
      <c r="E172" s="126"/>
    </row>
    <row r="173" spans="1:5" s="105" customFormat="1">
      <c r="A173" s="104"/>
      <c r="E173" s="126"/>
    </row>
    <row r="174" spans="1:5" s="105" customFormat="1">
      <c r="A174" s="104"/>
      <c r="E174" s="126"/>
    </row>
    <row r="175" spans="1:5" s="105" customFormat="1">
      <c r="A175" s="104"/>
      <c r="E175" s="126"/>
    </row>
    <row r="176" spans="1:5" s="105" customFormat="1">
      <c r="A176" s="104"/>
      <c r="E176" s="126"/>
    </row>
    <row r="177" spans="1:5" s="105" customFormat="1">
      <c r="A177" s="104"/>
      <c r="E177" s="126"/>
    </row>
    <row r="178" spans="1:5" s="105" customFormat="1">
      <c r="A178" s="104"/>
      <c r="E178" s="126"/>
    </row>
    <row r="179" spans="1:5" s="105" customFormat="1">
      <c r="A179" s="104"/>
      <c r="E179" s="126"/>
    </row>
    <row r="180" spans="1:5" s="105" customFormat="1">
      <c r="A180" s="104"/>
      <c r="E180" s="126"/>
    </row>
    <row r="181" spans="1:5" s="105" customFormat="1">
      <c r="A181" s="104"/>
      <c r="E181" s="126"/>
    </row>
    <row r="182" spans="1:5" s="105" customFormat="1">
      <c r="A182" s="104"/>
      <c r="E182" s="126"/>
    </row>
    <row r="183" spans="1:5" s="105" customFormat="1">
      <c r="A183" s="104"/>
      <c r="E183" s="126"/>
    </row>
    <row r="184" spans="1:5" s="105" customFormat="1">
      <c r="A184" s="104"/>
      <c r="E184" s="126"/>
    </row>
    <row r="185" spans="1:5" s="105" customFormat="1">
      <c r="A185" s="104"/>
      <c r="E185" s="126"/>
    </row>
    <row r="186" spans="1:5" s="105" customFormat="1">
      <c r="A186" s="104"/>
      <c r="E186" s="126"/>
    </row>
    <row r="187" spans="1:5" s="105" customFormat="1">
      <c r="A187" s="104"/>
      <c r="E187" s="126"/>
    </row>
    <row r="188" spans="1:5" s="105" customFormat="1">
      <c r="A188" s="104"/>
      <c r="E188" s="126"/>
    </row>
    <row r="189" spans="1:5" s="105" customFormat="1">
      <c r="A189" s="104"/>
      <c r="E189" s="126"/>
    </row>
    <row r="190" spans="1:5" s="105" customFormat="1">
      <c r="A190" s="104"/>
      <c r="E190" s="126"/>
    </row>
    <row r="191" spans="1:5" s="105" customFormat="1">
      <c r="A191" s="104"/>
      <c r="E191" s="126"/>
    </row>
    <row r="192" spans="1:5" s="105" customFormat="1">
      <c r="A192" s="104"/>
      <c r="E192" s="126"/>
    </row>
    <row r="193" spans="1:5" s="105" customFormat="1">
      <c r="A193" s="104"/>
      <c r="E193" s="126"/>
    </row>
    <row r="194" spans="1:5" s="105" customFormat="1">
      <c r="A194" s="104"/>
      <c r="E194" s="126"/>
    </row>
    <row r="195" spans="1:5" s="105" customFormat="1">
      <c r="A195" s="104"/>
      <c r="E195" s="126"/>
    </row>
    <row r="196" spans="1:5" s="105" customFormat="1">
      <c r="A196" s="104"/>
      <c r="E196" s="126"/>
    </row>
    <row r="197" spans="1:5" s="105" customFormat="1">
      <c r="A197" s="104"/>
      <c r="E197" s="126"/>
    </row>
    <row r="198" spans="1:5" s="105" customFormat="1">
      <c r="A198" s="104"/>
      <c r="E198" s="126"/>
    </row>
    <row r="199" spans="1:5" s="105" customFormat="1">
      <c r="A199" s="104"/>
      <c r="E199" s="126"/>
    </row>
    <row r="200" spans="1:5" s="105" customFormat="1">
      <c r="A200" s="104"/>
      <c r="E200" s="126"/>
    </row>
    <row r="201" spans="1:5" s="105" customFormat="1">
      <c r="A201" s="104"/>
      <c r="E201" s="126"/>
    </row>
    <row r="202" spans="1:5" s="105" customFormat="1">
      <c r="A202" s="104"/>
      <c r="E202" s="126"/>
    </row>
    <row r="203" spans="1:5" s="105" customFormat="1">
      <c r="A203" s="104"/>
      <c r="E203" s="126"/>
    </row>
    <row r="204" spans="1:5" s="105" customFormat="1">
      <c r="A204" s="104"/>
      <c r="E204" s="126"/>
    </row>
    <row r="205" spans="1:5" s="105" customFormat="1">
      <c r="A205" s="104"/>
      <c r="E205" s="126"/>
    </row>
    <row r="206" spans="1:5" s="105" customFormat="1">
      <c r="A206" s="104"/>
      <c r="E206" s="126"/>
    </row>
    <row r="207" spans="1:5" s="105" customFormat="1">
      <c r="A207" s="104"/>
      <c r="E207" s="126"/>
    </row>
    <row r="208" spans="1:5" s="105" customFormat="1">
      <c r="A208" s="104"/>
      <c r="E208" s="126"/>
    </row>
    <row r="209" spans="1:5" s="105" customFormat="1">
      <c r="A209" s="104"/>
      <c r="E209" s="126"/>
    </row>
    <row r="210" spans="1:5" s="105" customFormat="1">
      <c r="A210" s="104"/>
      <c r="E210" s="126"/>
    </row>
    <row r="211" spans="1:5" s="105" customFormat="1">
      <c r="A211" s="104"/>
      <c r="E211" s="126"/>
    </row>
    <row r="212" spans="1:5" s="105" customFormat="1">
      <c r="A212" s="104"/>
      <c r="E212" s="126"/>
    </row>
    <row r="213" spans="1:5" s="105" customFormat="1">
      <c r="A213" s="104"/>
      <c r="E213" s="126"/>
    </row>
    <row r="214" spans="1:5" s="105" customFormat="1">
      <c r="A214" s="104"/>
      <c r="E214" s="126"/>
    </row>
    <row r="215" spans="1:5" s="105" customFormat="1">
      <c r="A215" s="104"/>
      <c r="E215" s="126"/>
    </row>
    <row r="216" spans="1:5" s="105" customFormat="1">
      <c r="A216" s="104"/>
      <c r="E216" s="126"/>
    </row>
    <row r="217" spans="1:5" s="105" customFormat="1">
      <c r="A217" s="104"/>
      <c r="E217" s="126"/>
    </row>
    <row r="218" spans="1:5" s="105" customFormat="1">
      <c r="A218" s="104"/>
      <c r="E218" s="126"/>
    </row>
    <row r="219" spans="1:5" s="105" customFormat="1">
      <c r="A219" s="104"/>
      <c r="E219" s="126"/>
    </row>
    <row r="220" spans="1:5" s="105" customFormat="1">
      <c r="A220" s="104"/>
      <c r="E220" s="126"/>
    </row>
    <row r="221" spans="1:5" s="105" customFormat="1">
      <c r="A221" s="104"/>
      <c r="E221" s="126"/>
    </row>
    <row r="222" spans="1:5" s="105" customFormat="1">
      <c r="A222" s="104"/>
      <c r="E222" s="126"/>
    </row>
    <row r="223" spans="1:5" s="105" customFormat="1">
      <c r="A223" s="104"/>
      <c r="E223" s="126"/>
    </row>
    <row r="224" spans="1:5" s="105" customFormat="1">
      <c r="A224" s="104"/>
      <c r="E224" s="126"/>
    </row>
    <row r="225" spans="1:5" s="105" customFormat="1">
      <c r="A225" s="104"/>
      <c r="E225" s="126"/>
    </row>
    <row r="226" spans="1:5" s="105" customFormat="1">
      <c r="A226" s="104"/>
      <c r="E226" s="126"/>
    </row>
    <row r="227" spans="1:5" s="105" customFormat="1">
      <c r="A227" s="104"/>
      <c r="E227" s="126"/>
    </row>
    <row r="228" spans="1:5" s="105" customFormat="1">
      <c r="A228" s="104"/>
      <c r="E228" s="126"/>
    </row>
    <row r="229" spans="1:5" s="105" customFormat="1">
      <c r="A229" s="104"/>
      <c r="E229" s="126"/>
    </row>
    <row r="230" spans="1:5" s="105" customFormat="1">
      <c r="A230" s="104"/>
      <c r="E230" s="126"/>
    </row>
    <row r="231" spans="1:5" s="105" customFormat="1">
      <c r="A231" s="104"/>
      <c r="E231" s="126"/>
    </row>
    <row r="232" spans="1:5" s="105" customFormat="1">
      <c r="A232" s="104"/>
      <c r="E232" s="126"/>
    </row>
    <row r="233" spans="1:5" s="105" customFormat="1">
      <c r="A233" s="104"/>
      <c r="E233" s="126"/>
    </row>
    <row r="234" spans="1:5" s="105" customFormat="1">
      <c r="A234" s="104"/>
      <c r="E234" s="126"/>
    </row>
    <row r="235" spans="1:5" s="105" customFormat="1">
      <c r="A235" s="104"/>
      <c r="E235" s="126"/>
    </row>
    <row r="236" spans="1:5" s="105" customFormat="1">
      <c r="A236" s="104"/>
      <c r="E236" s="126"/>
    </row>
    <row r="237" spans="1:5" s="105" customFormat="1">
      <c r="A237" s="104"/>
      <c r="E237" s="126"/>
    </row>
    <row r="238" spans="1:5" s="105" customFormat="1">
      <c r="A238" s="104"/>
      <c r="E238" s="126"/>
    </row>
    <row r="239" spans="1:5" s="105" customFormat="1">
      <c r="A239" s="104"/>
      <c r="E239" s="126"/>
    </row>
    <row r="240" spans="1:5" s="105" customFormat="1">
      <c r="A240" s="104"/>
      <c r="E240" s="126"/>
    </row>
    <row r="241" spans="1:5" s="105" customFormat="1">
      <c r="A241" s="104"/>
      <c r="E241" s="126"/>
    </row>
    <row r="242" spans="1:5" s="105" customFormat="1">
      <c r="A242" s="104"/>
      <c r="E242" s="126"/>
    </row>
    <row r="243" spans="1:5" s="105" customFormat="1">
      <c r="A243" s="104"/>
      <c r="E243" s="126"/>
    </row>
    <row r="244" spans="1:5" s="105" customFormat="1">
      <c r="A244" s="104"/>
      <c r="E244" s="126"/>
    </row>
    <row r="245" spans="1:5" s="105" customFormat="1">
      <c r="A245" s="104"/>
      <c r="E245" s="126"/>
    </row>
    <row r="246" spans="1:5" s="105" customFormat="1">
      <c r="A246" s="104"/>
      <c r="E246" s="126"/>
    </row>
    <row r="247" spans="1:5" s="105" customFormat="1">
      <c r="A247" s="104"/>
      <c r="E247" s="126"/>
    </row>
    <row r="248" spans="1:5" s="105" customFormat="1">
      <c r="A248" s="104"/>
      <c r="E248" s="126"/>
    </row>
    <row r="249" spans="1:5" s="105" customFormat="1">
      <c r="A249" s="104"/>
      <c r="E249" s="126"/>
    </row>
    <row r="250" spans="1:5" s="105" customFormat="1">
      <c r="A250" s="104"/>
      <c r="E250" s="126"/>
    </row>
    <row r="251" spans="1:5" s="105" customFormat="1">
      <c r="A251" s="104"/>
      <c r="E251" s="126"/>
    </row>
    <row r="252" spans="1:5" s="105" customFormat="1">
      <c r="A252" s="104"/>
      <c r="E252" s="126"/>
    </row>
    <row r="253" spans="1:5" s="105" customFormat="1">
      <c r="A253" s="104"/>
      <c r="E253" s="126"/>
    </row>
    <row r="254" spans="1:5" s="105" customFormat="1">
      <c r="A254" s="104"/>
      <c r="E254" s="126"/>
    </row>
    <row r="255" spans="1:5" s="105" customFormat="1">
      <c r="A255" s="104"/>
      <c r="E255" s="126"/>
    </row>
    <row r="256" spans="1:5" s="105" customFormat="1">
      <c r="A256" s="104"/>
      <c r="E256" s="126"/>
    </row>
    <row r="257" spans="1:5" s="105" customFormat="1">
      <c r="A257" s="104"/>
      <c r="E257" s="126"/>
    </row>
    <row r="258" spans="1:5" s="105" customFormat="1">
      <c r="A258" s="104"/>
      <c r="E258" s="126"/>
    </row>
    <row r="259" spans="1:5" s="105" customFormat="1">
      <c r="A259" s="104"/>
      <c r="E259" s="126"/>
    </row>
    <row r="260" spans="1:5" s="105" customFormat="1">
      <c r="A260" s="104"/>
      <c r="E260" s="126"/>
    </row>
    <row r="261" spans="1:5" s="105" customFormat="1">
      <c r="A261" s="104"/>
      <c r="E261" s="126"/>
    </row>
    <row r="262" spans="1:5" s="105" customFormat="1">
      <c r="A262" s="104"/>
      <c r="E262" s="126"/>
    </row>
    <row r="263" spans="1:5" s="105" customFormat="1">
      <c r="A263" s="104"/>
      <c r="E263" s="126"/>
    </row>
    <row r="264" spans="1:5" s="105" customFormat="1">
      <c r="A264" s="104"/>
      <c r="E264" s="126"/>
    </row>
    <row r="265" spans="1:5" s="105" customFormat="1">
      <c r="A265" s="104"/>
      <c r="E265" s="126"/>
    </row>
    <row r="266" spans="1:5" s="105" customFormat="1">
      <c r="A266" s="104"/>
      <c r="E266" s="126"/>
    </row>
    <row r="267" spans="1:5" s="105" customFormat="1">
      <c r="A267" s="104"/>
      <c r="E267" s="126"/>
    </row>
    <row r="268" spans="1:5" s="105" customFormat="1">
      <c r="A268" s="104"/>
      <c r="E268" s="126"/>
    </row>
    <row r="269" spans="1:5" s="105" customFormat="1">
      <c r="A269" s="104"/>
      <c r="E269" s="126"/>
    </row>
    <row r="270" spans="1:5" s="105" customFormat="1">
      <c r="A270" s="104"/>
      <c r="E270" s="126"/>
    </row>
    <row r="271" spans="1:5" s="105" customFormat="1">
      <c r="A271" s="104"/>
      <c r="E271" s="126"/>
    </row>
    <row r="272" spans="1:5" s="105" customFormat="1">
      <c r="A272" s="104"/>
      <c r="E272" s="126"/>
    </row>
    <row r="273" spans="1:5" s="105" customFormat="1">
      <c r="A273" s="104"/>
      <c r="E273" s="126"/>
    </row>
    <row r="274" spans="1:5" s="105" customFormat="1">
      <c r="A274" s="104"/>
      <c r="E274" s="126"/>
    </row>
    <row r="275" spans="1:5" s="105" customFormat="1">
      <c r="A275" s="104"/>
      <c r="E275" s="126"/>
    </row>
    <row r="276" spans="1:5" s="105" customFormat="1">
      <c r="A276" s="104"/>
      <c r="E276" s="126"/>
    </row>
    <row r="277" spans="1:5" s="105" customFormat="1">
      <c r="A277" s="104"/>
      <c r="E277" s="126"/>
    </row>
    <row r="278" spans="1:5" s="105" customFormat="1">
      <c r="A278" s="104"/>
      <c r="E278" s="126"/>
    </row>
    <row r="279" spans="1:5" s="105" customFormat="1">
      <c r="A279" s="104"/>
      <c r="E279" s="126"/>
    </row>
    <row r="280" spans="1:5" s="105" customFormat="1">
      <c r="A280" s="104"/>
      <c r="E280" s="126"/>
    </row>
    <row r="281" spans="1:5" s="105" customFormat="1">
      <c r="A281" s="104"/>
      <c r="E281" s="126"/>
    </row>
    <row r="282" spans="1:5" s="105" customFormat="1">
      <c r="A282" s="104"/>
      <c r="E282" s="126"/>
    </row>
    <row r="283" spans="1:5" s="105" customFormat="1">
      <c r="A283" s="104"/>
      <c r="E283" s="126"/>
    </row>
    <row r="284" spans="1:5" s="105" customFormat="1">
      <c r="A284" s="104"/>
      <c r="E284" s="126"/>
    </row>
    <row r="285" spans="1:5" s="105" customFormat="1">
      <c r="A285" s="104"/>
      <c r="E285" s="126"/>
    </row>
    <row r="286" spans="1:5" s="105" customFormat="1">
      <c r="A286" s="104"/>
      <c r="E286" s="126"/>
    </row>
    <row r="287" spans="1:5" s="105" customFormat="1">
      <c r="A287" s="104"/>
      <c r="E287" s="126"/>
    </row>
    <row r="288" spans="1:5" s="105" customFormat="1">
      <c r="A288" s="104"/>
      <c r="E288" s="126"/>
    </row>
    <row r="289" spans="1:5" s="105" customFormat="1">
      <c r="A289" s="104"/>
      <c r="E289" s="126"/>
    </row>
  </sheetData>
  <pageMargins left="0.7" right="0.7" top="0.75" bottom="0.75" header="0.3" footer="0.3"/>
  <pageSetup orientation="portrait" r:id="rId1"/>
  <rowBreaks count="2" manualBreakCount="2">
    <brk id="47" max="5" man="1"/>
    <brk id="92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3725"/>
  <sheetViews>
    <sheetView tabSelected="1" topLeftCell="C191" zoomScaleNormal="100" workbookViewId="0">
      <selection activeCell="E4" sqref="E4"/>
    </sheetView>
  </sheetViews>
  <sheetFormatPr defaultRowHeight="15" customHeight="1"/>
  <cols>
    <col min="1" max="2" width="0" style="2" hidden="1" customWidth="1"/>
    <col min="3" max="3" width="2.85546875" style="3" bestFit="1" customWidth="1"/>
    <col min="4" max="4" width="11.42578125" style="15" customWidth="1"/>
    <col min="5" max="5" width="31.7109375" style="15" customWidth="1"/>
    <col min="6" max="6" width="0.85546875" style="105" hidden="1" customWidth="1"/>
    <col min="7" max="8" width="13.28515625" style="61" hidden="1" customWidth="1"/>
    <col min="9" max="9" width="12.85546875" style="61" hidden="1" customWidth="1"/>
    <col min="10" max="10" width="10.85546875" style="61" customWidth="1"/>
    <col min="11" max="11" width="11" style="61" customWidth="1"/>
    <col min="12" max="12" width="13.28515625" style="61" hidden="1" customWidth="1"/>
    <col min="13" max="13" width="11" style="61" customWidth="1"/>
    <col min="14" max="14" width="10.5703125" style="61" customWidth="1"/>
    <col min="15" max="15" width="49.7109375" style="275" customWidth="1"/>
    <col min="16" max="16" width="6.140625" style="52" customWidth="1"/>
    <col min="17" max="17" width="5.7109375" style="52" customWidth="1"/>
    <col min="18" max="18" width="11.5703125" style="52" customWidth="1"/>
    <col min="19" max="19" width="9.42578125" style="2" customWidth="1"/>
    <col min="20" max="21" width="0.85546875" style="2" customWidth="1"/>
    <col min="22" max="22" width="10.5703125" style="35" bestFit="1" customWidth="1"/>
    <col min="23" max="23" width="11.140625" style="35" customWidth="1"/>
    <col min="24" max="16384" width="9.140625" style="2"/>
  </cols>
  <sheetData>
    <row r="1" spans="1:23" ht="9.9499999999999993" hidden="1" customHeight="1">
      <c r="C1" s="3">
        <v>10</v>
      </c>
      <c r="D1" s="15" t="s">
        <v>1955</v>
      </c>
      <c r="L1" s="317" t="s">
        <v>1963</v>
      </c>
    </row>
    <row r="2" spans="1:23" ht="2.25" customHeight="1">
      <c r="G2" s="317"/>
      <c r="H2" s="317"/>
      <c r="I2" s="317"/>
      <c r="J2" s="317"/>
      <c r="K2" s="317"/>
      <c r="L2" s="317" t="s">
        <v>2486</v>
      </c>
      <c r="M2" s="318"/>
      <c r="N2" s="318"/>
      <c r="O2" s="276"/>
      <c r="P2" s="7"/>
      <c r="Q2" s="7"/>
      <c r="R2" s="2"/>
    </row>
    <row r="3" spans="1:23" ht="12.75" customHeight="1">
      <c r="D3" s="353" t="s">
        <v>3076</v>
      </c>
      <c r="E3" s="354"/>
      <c r="G3" s="317" t="s">
        <v>1956</v>
      </c>
      <c r="H3" s="317" t="s">
        <v>1956</v>
      </c>
      <c r="I3" s="317" t="s">
        <v>1956</v>
      </c>
      <c r="J3" s="348" t="s">
        <v>1956</v>
      </c>
      <c r="K3" s="348" t="s">
        <v>1956</v>
      </c>
      <c r="L3" s="348" t="s">
        <v>1956</v>
      </c>
      <c r="M3" s="348" t="s">
        <v>1965</v>
      </c>
      <c r="N3" s="348" t="s">
        <v>3081</v>
      </c>
      <c r="O3" s="276" t="s">
        <v>2415</v>
      </c>
      <c r="P3" s="7"/>
      <c r="Q3" s="7"/>
      <c r="R3" s="2"/>
    </row>
    <row r="4" spans="1:23" ht="14.25" customHeight="1">
      <c r="D4" s="354" t="s">
        <v>3077</v>
      </c>
      <c r="E4" s="354"/>
      <c r="G4" s="317" t="s">
        <v>1957</v>
      </c>
      <c r="H4" s="317" t="s">
        <v>1957</v>
      </c>
      <c r="I4" s="317" t="s">
        <v>1957</v>
      </c>
      <c r="J4" s="349" t="s">
        <v>1957</v>
      </c>
      <c r="K4" s="349" t="s">
        <v>1961</v>
      </c>
      <c r="L4" s="349" t="s">
        <v>1962</v>
      </c>
      <c r="M4" s="349" t="s">
        <v>1964</v>
      </c>
      <c r="N4" s="349" t="s">
        <v>1961</v>
      </c>
      <c r="O4" s="276" t="s">
        <v>2416</v>
      </c>
      <c r="P4" s="7"/>
      <c r="Q4" s="7"/>
      <c r="R4" s="2"/>
    </row>
    <row r="5" spans="1:23" ht="12.75" customHeight="1">
      <c r="D5" s="350"/>
      <c r="E5" s="350"/>
      <c r="G5" s="319" t="s">
        <v>1958</v>
      </c>
      <c r="H5" s="319" t="s">
        <v>1959</v>
      </c>
      <c r="I5" s="319" t="s">
        <v>1960</v>
      </c>
      <c r="J5" s="351" t="s">
        <v>3078</v>
      </c>
      <c r="K5" s="351" t="s">
        <v>3079</v>
      </c>
      <c r="L5" s="352" t="s">
        <v>1967</v>
      </c>
      <c r="M5" s="351" t="s">
        <v>3079</v>
      </c>
      <c r="N5" s="351" t="s">
        <v>3080</v>
      </c>
      <c r="O5" s="277" t="s">
        <v>2485</v>
      </c>
      <c r="P5" s="7"/>
      <c r="Q5" s="7"/>
      <c r="R5" s="2"/>
    </row>
    <row r="6" spans="1:23" ht="15" customHeight="1">
      <c r="D6" s="47" t="s">
        <v>2405</v>
      </c>
      <c r="G6" s="319"/>
      <c r="H6" s="319"/>
      <c r="I6" s="319"/>
      <c r="J6" s="319"/>
      <c r="K6" s="319"/>
      <c r="L6" s="319"/>
      <c r="M6" s="319"/>
      <c r="N6" s="319"/>
      <c r="P6" s="203"/>
      <c r="Q6" s="204" t="s">
        <v>2601</v>
      </c>
      <c r="R6" s="205"/>
      <c r="S6" s="206"/>
      <c r="T6" s="207"/>
      <c r="U6" s="207"/>
      <c r="V6" s="208" t="s">
        <v>2602</v>
      </c>
      <c r="W6" s="212"/>
    </row>
    <row r="7" spans="1:23" ht="15" customHeight="1">
      <c r="D7" s="47"/>
      <c r="G7" s="319"/>
      <c r="H7" s="319"/>
      <c r="I7" s="319"/>
      <c r="J7" s="319"/>
      <c r="K7" s="319"/>
      <c r="L7" s="319"/>
      <c r="M7" s="319"/>
      <c r="N7" s="319"/>
      <c r="P7" s="203"/>
      <c r="Q7" s="204"/>
      <c r="R7" s="205"/>
      <c r="S7" s="206"/>
      <c r="T7" s="207"/>
      <c r="U7" s="207"/>
      <c r="V7" s="208"/>
      <c r="W7" s="212"/>
    </row>
    <row r="8" spans="1:23" ht="15" customHeight="1">
      <c r="D8" s="54" t="s">
        <v>2874</v>
      </c>
      <c r="E8" s="54"/>
      <c r="F8" s="192"/>
      <c r="G8" s="55"/>
      <c r="H8" s="55"/>
      <c r="I8" s="55"/>
      <c r="J8" s="55">
        <f>511540+517084</f>
        <v>1028624</v>
      </c>
      <c r="K8" s="55">
        <f>J44</f>
        <v>511540</v>
      </c>
      <c r="L8" s="55"/>
      <c r="M8" s="55">
        <f>+K8</f>
        <v>511540</v>
      </c>
      <c r="N8" s="55">
        <f>+M44</f>
        <v>632925.77000000048</v>
      </c>
      <c r="O8" s="278"/>
      <c r="P8" s="203"/>
      <c r="Q8" s="204"/>
      <c r="R8" s="205"/>
      <c r="S8" s="206"/>
      <c r="T8" s="207"/>
      <c r="U8" s="207"/>
      <c r="V8" s="208"/>
      <c r="W8" s="212"/>
    </row>
    <row r="9" spans="1:23" ht="15" customHeight="1">
      <c r="G9" s="319"/>
      <c r="H9" s="319"/>
      <c r="I9" s="319"/>
      <c r="J9" s="319"/>
      <c r="K9" s="319"/>
      <c r="L9" s="319"/>
      <c r="M9" s="319"/>
      <c r="N9" s="319"/>
      <c r="P9" s="203"/>
      <c r="Q9" s="209" t="s">
        <v>2603</v>
      </c>
      <c r="R9" s="205"/>
      <c r="S9" s="206"/>
      <c r="T9" s="207" t="s">
        <v>2604</v>
      </c>
      <c r="U9" s="207" t="s">
        <v>2605</v>
      </c>
      <c r="V9" s="212" t="s">
        <v>1962</v>
      </c>
      <c r="W9" s="212"/>
    </row>
    <row r="10" spans="1:23" ht="15" customHeight="1">
      <c r="D10" s="47" t="s">
        <v>2409</v>
      </c>
      <c r="P10" s="202" t="s">
        <v>2606</v>
      </c>
      <c r="Q10" s="210" t="s">
        <v>2607</v>
      </c>
      <c r="R10" s="205"/>
      <c r="S10" s="206"/>
      <c r="T10" s="207" t="s">
        <v>1961</v>
      </c>
      <c r="U10" s="207" t="s">
        <v>2608</v>
      </c>
      <c r="V10" s="212" t="s">
        <v>1956</v>
      </c>
      <c r="W10" s="212" t="s">
        <v>2609</v>
      </c>
    </row>
    <row r="11" spans="1:23" ht="15" customHeight="1">
      <c r="G11" s="26"/>
      <c r="H11" s="26"/>
      <c r="I11" s="26"/>
      <c r="J11" s="26"/>
      <c r="K11" s="26"/>
      <c r="L11" s="26"/>
      <c r="M11" s="26"/>
      <c r="N11" s="26"/>
      <c r="P11" s="203"/>
      <c r="Q11" s="203"/>
      <c r="R11" s="205"/>
      <c r="S11" s="206"/>
      <c r="T11" s="207"/>
      <c r="U11" s="207"/>
      <c r="V11" s="212"/>
      <c r="W11" s="212"/>
    </row>
    <row r="12" spans="1:23" s="21" customFormat="1" ht="15" customHeight="1">
      <c r="A12" s="2"/>
      <c r="B12" s="2" t="s">
        <v>2318</v>
      </c>
      <c r="C12" s="3"/>
      <c r="D12" s="54" t="s">
        <v>2193</v>
      </c>
      <c r="E12" s="54"/>
      <c r="F12" s="192"/>
      <c r="G12" s="55">
        <f>+G14</f>
        <v>5171853</v>
      </c>
      <c r="H12" s="55">
        <f t="shared" ref="H12:N12" si="0">+H14</f>
        <v>5974945</v>
      </c>
      <c r="I12" s="55">
        <f t="shared" si="0"/>
        <v>5830612</v>
      </c>
      <c r="J12" s="55">
        <f t="shared" si="0"/>
        <v>5874198</v>
      </c>
      <c r="K12" s="55">
        <f t="shared" si="0"/>
        <v>6462473</v>
      </c>
      <c r="L12" s="55">
        <f t="shared" si="0"/>
        <v>4066639</v>
      </c>
      <c r="M12" s="55">
        <f t="shared" si="0"/>
        <v>6434454</v>
      </c>
      <c r="N12" s="55">
        <f t="shared" si="0"/>
        <v>6620104.8294474604</v>
      </c>
      <c r="O12" s="279"/>
      <c r="P12" s="202">
        <v>1</v>
      </c>
      <c r="Q12" s="210">
        <v>10</v>
      </c>
      <c r="R12" s="205" t="s">
        <v>2610</v>
      </c>
      <c r="S12" s="206"/>
      <c r="T12" s="211"/>
      <c r="U12" s="211"/>
      <c r="V12" s="213"/>
      <c r="W12" s="213"/>
    </row>
    <row r="13" spans="1:23" s="12" customFormat="1" ht="15" customHeight="1">
      <c r="A13" s="2"/>
      <c r="B13" s="2"/>
      <c r="C13" s="3"/>
      <c r="D13" s="13"/>
      <c r="E13" s="13"/>
      <c r="F13" s="190"/>
      <c r="G13" s="25"/>
      <c r="H13" s="25"/>
      <c r="I13" s="25"/>
      <c r="J13" s="25"/>
      <c r="K13" s="25"/>
      <c r="L13" s="25"/>
      <c r="M13" s="25"/>
      <c r="N13" s="25"/>
      <c r="O13" s="280"/>
      <c r="P13" s="202">
        <v>2</v>
      </c>
      <c r="Q13" s="210">
        <v>10</v>
      </c>
      <c r="R13" s="205" t="s">
        <v>2611</v>
      </c>
      <c r="S13" s="206"/>
      <c r="T13" s="211"/>
      <c r="U13" s="211"/>
      <c r="V13" s="213"/>
      <c r="W13" s="213"/>
    </row>
    <row r="14" spans="1:23" s="27" customFormat="1" ht="15" customHeight="1" thickBot="1">
      <c r="A14" s="2"/>
      <c r="B14" s="2" t="s">
        <v>2318</v>
      </c>
      <c r="C14" s="3"/>
      <c r="D14" s="68" t="s">
        <v>2192</v>
      </c>
      <c r="E14" s="68"/>
      <c r="F14" s="320"/>
      <c r="G14" s="321">
        <f>+G110</f>
        <v>5171853</v>
      </c>
      <c r="H14" s="321">
        <f t="shared" ref="H14:N14" si="1">+H110</f>
        <v>5974945</v>
      </c>
      <c r="I14" s="321">
        <f t="shared" si="1"/>
        <v>5830612</v>
      </c>
      <c r="J14" s="321">
        <f t="shared" si="1"/>
        <v>5874198</v>
      </c>
      <c r="K14" s="321">
        <f t="shared" si="1"/>
        <v>6462473</v>
      </c>
      <c r="L14" s="321">
        <f t="shared" si="1"/>
        <v>4066639</v>
      </c>
      <c r="M14" s="321">
        <f t="shared" si="1"/>
        <v>6434454</v>
      </c>
      <c r="N14" s="321">
        <f t="shared" si="1"/>
        <v>6620104.8294474604</v>
      </c>
      <c r="O14" s="281"/>
      <c r="P14" s="202">
        <v>3</v>
      </c>
      <c r="Q14" s="210">
        <v>10</v>
      </c>
      <c r="R14" s="205" t="s">
        <v>2612</v>
      </c>
      <c r="S14" s="206"/>
      <c r="T14" s="211">
        <v>6462473</v>
      </c>
      <c r="U14" s="211">
        <v>408064.63</v>
      </c>
      <c r="V14" s="213">
        <v>4474702.51</v>
      </c>
      <c r="W14" s="213">
        <v>69.239999999999995</v>
      </c>
    </row>
    <row r="15" spans="1:23" s="5" customFormat="1" ht="15" customHeight="1" thickTop="1">
      <c r="A15" s="2"/>
      <c r="B15" s="2"/>
      <c r="C15" s="3"/>
      <c r="D15" s="15"/>
      <c r="E15" s="15"/>
      <c r="F15" s="105"/>
      <c r="G15" s="26"/>
      <c r="H15" s="26"/>
      <c r="I15" s="26"/>
      <c r="J15" s="26"/>
      <c r="K15" s="26"/>
      <c r="L15" s="26"/>
      <c r="M15" s="26"/>
      <c r="N15" s="26"/>
      <c r="O15" s="282"/>
      <c r="P15" s="202">
        <v>4</v>
      </c>
      <c r="Q15" s="210">
        <v>10</v>
      </c>
      <c r="R15" s="205" t="s">
        <v>2613</v>
      </c>
      <c r="S15" s="206"/>
      <c r="T15" s="211">
        <v>6462473</v>
      </c>
      <c r="U15" s="211">
        <v>408064.63</v>
      </c>
      <c r="V15" s="213">
        <v>4474702.51</v>
      </c>
      <c r="W15" s="213">
        <v>69.239999999999995</v>
      </c>
    </row>
    <row r="16" spans="1:23" ht="15" customHeight="1">
      <c r="D16" s="47" t="s">
        <v>2190</v>
      </c>
      <c r="G16" s="26"/>
      <c r="H16" s="26"/>
      <c r="I16" s="26"/>
      <c r="J16" s="26"/>
      <c r="K16" s="26"/>
      <c r="L16" s="26"/>
      <c r="M16" s="26"/>
      <c r="N16" s="26"/>
      <c r="P16" s="202">
        <v>5</v>
      </c>
      <c r="Q16" s="210">
        <v>10</v>
      </c>
      <c r="R16" s="205" t="s">
        <v>2614</v>
      </c>
      <c r="S16" s="206"/>
      <c r="T16" s="211"/>
      <c r="U16" s="211"/>
      <c r="V16" s="213"/>
      <c r="W16" s="213"/>
    </row>
    <row r="17" spans="2:23" ht="15" customHeight="1">
      <c r="G17" s="26"/>
      <c r="H17" s="26"/>
      <c r="I17" s="26"/>
      <c r="J17" s="26"/>
      <c r="K17" s="26"/>
      <c r="L17" s="26"/>
      <c r="M17" s="26"/>
      <c r="N17" s="26"/>
      <c r="P17" s="202">
        <v>6</v>
      </c>
      <c r="Q17" s="210">
        <v>10</v>
      </c>
      <c r="R17" s="205" t="s">
        <v>2615</v>
      </c>
      <c r="S17" s="206"/>
      <c r="T17" s="211"/>
      <c r="U17" s="211"/>
      <c r="V17" s="213"/>
      <c r="W17" s="213"/>
    </row>
    <row r="18" spans="2:23" ht="15" customHeight="1">
      <c r="B18" s="2" t="s">
        <v>2318</v>
      </c>
      <c r="C18" s="3">
        <v>10</v>
      </c>
      <c r="D18" s="15" t="s">
        <v>0</v>
      </c>
      <c r="F18" s="26">
        <v>252</v>
      </c>
      <c r="G18" s="26">
        <f>+G138</f>
        <v>12137</v>
      </c>
      <c r="H18" s="26">
        <f t="shared" ref="H18:N18" si="2">+H138</f>
        <v>13660</v>
      </c>
      <c r="I18" s="26">
        <f t="shared" si="2"/>
        <v>486</v>
      </c>
      <c r="J18" s="26">
        <f t="shared" si="2"/>
        <v>-11783</v>
      </c>
      <c r="K18" s="26">
        <f t="shared" si="2"/>
        <v>0</v>
      </c>
      <c r="L18" s="26">
        <f t="shared" si="2"/>
        <v>14935</v>
      </c>
      <c r="M18" s="26">
        <f t="shared" si="2"/>
        <v>10270</v>
      </c>
      <c r="N18" s="26">
        <f t="shared" si="2"/>
        <v>0</v>
      </c>
      <c r="P18" s="202">
        <v>7</v>
      </c>
      <c r="Q18" s="210">
        <v>10</v>
      </c>
      <c r="R18" s="205" t="s">
        <v>0</v>
      </c>
      <c r="S18" s="206"/>
      <c r="T18" s="211">
        <v>0</v>
      </c>
      <c r="U18" s="211">
        <v>-596.53</v>
      </c>
      <c r="V18" s="213">
        <v>14338.04</v>
      </c>
      <c r="W18" s="213">
        <v>0</v>
      </c>
    </row>
    <row r="19" spans="2:23" ht="15" customHeight="1">
      <c r="B19" s="2" t="s">
        <v>2318</v>
      </c>
      <c r="C19" s="3">
        <v>10</v>
      </c>
      <c r="D19" s="15" t="s">
        <v>1</v>
      </c>
      <c r="F19" s="26">
        <v>17683</v>
      </c>
      <c r="G19" s="26">
        <f>+G200</f>
        <v>68470</v>
      </c>
      <c r="H19" s="26">
        <f t="shared" ref="H19:N19" si="3">+H200</f>
        <v>25457</v>
      </c>
      <c r="I19" s="26">
        <f t="shared" si="3"/>
        <v>31953</v>
      </c>
      <c r="J19" s="26">
        <f t="shared" si="3"/>
        <v>17769</v>
      </c>
      <c r="K19" s="26">
        <f t="shared" si="3"/>
        <v>19920</v>
      </c>
      <c r="L19" s="26">
        <f t="shared" si="3"/>
        <v>6595</v>
      </c>
      <c r="M19" s="26">
        <f t="shared" si="3"/>
        <v>21684.239999999998</v>
      </c>
      <c r="N19" s="26">
        <f t="shared" si="3"/>
        <v>19920</v>
      </c>
      <c r="P19" s="202">
        <v>8</v>
      </c>
      <c r="Q19" s="210">
        <v>10</v>
      </c>
      <c r="R19" s="205" t="s">
        <v>1</v>
      </c>
      <c r="S19" s="206"/>
      <c r="T19" s="211">
        <v>19920</v>
      </c>
      <c r="U19" s="211">
        <v>198.12</v>
      </c>
      <c r="V19" s="213">
        <v>6792.12</v>
      </c>
      <c r="W19" s="213">
        <v>34.1</v>
      </c>
    </row>
    <row r="20" spans="2:23" ht="15" customHeight="1">
      <c r="B20" s="2" t="s">
        <v>2318</v>
      </c>
      <c r="C20" s="3">
        <v>10</v>
      </c>
      <c r="D20" s="15" t="s">
        <v>2</v>
      </c>
      <c r="F20" s="26">
        <v>148367</v>
      </c>
      <c r="G20" s="26">
        <f>+G286</f>
        <v>198037</v>
      </c>
      <c r="H20" s="26">
        <f t="shared" ref="H20:N20" si="4">+H286</f>
        <v>194177</v>
      </c>
      <c r="I20" s="26">
        <f t="shared" si="4"/>
        <v>173580</v>
      </c>
      <c r="J20" s="26">
        <f t="shared" si="4"/>
        <v>176371</v>
      </c>
      <c r="K20" s="26">
        <f t="shared" si="4"/>
        <v>181855</v>
      </c>
      <c r="L20" s="26">
        <f t="shared" si="4"/>
        <v>105311</v>
      </c>
      <c r="M20" s="26">
        <f t="shared" si="4"/>
        <v>181266.39999999997</v>
      </c>
      <c r="N20" s="26">
        <f t="shared" si="4"/>
        <v>192425</v>
      </c>
      <c r="O20" s="275" t="s">
        <v>3068</v>
      </c>
      <c r="P20" s="202">
        <v>9</v>
      </c>
      <c r="Q20" s="210">
        <v>10</v>
      </c>
      <c r="R20" s="205" t="s">
        <v>2</v>
      </c>
      <c r="S20" s="206"/>
      <c r="T20" s="211">
        <v>181855</v>
      </c>
      <c r="U20" s="211">
        <v>14783.67</v>
      </c>
      <c r="V20" s="213">
        <v>120093.87</v>
      </c>
      <c r="W20" s="213">
        <v>66.040000000000006</v>
      </c>
    </row>
    <row r="21" spans="2:23" ht="15" customHeight="1">
      <c r="B21" s="2" t="s">
        <v>2318</v>
      </c>
      <c r="C21" s="3">
        <v>10</v>
      </c>
      <c r="D21" s="15" t="s">
        <v>3</v>
      </c>
      <c r="F21" s="26">
        <v>94582</v>
      </c>
      <c r="G21" s="26">
        <f>+G363</f>
        <v>137961</v>
      </c>
      <c r="H21" s="26">
        <f t="shared" ref="H21:N21" si="5">+H363</f>
        <v>138813</v>
      </c>
      <c r="I21" s="26">
        <f t="shared" si="5"/>
        <v>160060</v>
      </c>
      <c r="J21" s="26">
        <f t="shared" si="5"/>
        <v>93951</v>
      </c>
      <c r="K21" s="26">
        <f t="shared" si="5"/>
        <v>94946</v>
      </c>
      <c r="L21" s="26">
        <f t="shared" si="5"/>
        <v>55355</v>
      </c>
      <c r="M21" s="26">
        <f t="shared" si="5"/>
        <v>93624.27</v>
      </c>
      <c r="N21" s="26">
        <f t="shared" si="5"/>
        <v>97989</v>
      </c>
      <c r="P21" s="202">
        <v>10</v>
      </c>
      <c r="Q21" s="210">
        <v>10</v>
      </c>
      <c r="R21" s="205" t="s">
        <v>3</v>
      </c>
      <c r="S21" s="206"/>
      <c r="T21" s="211">
        <v>94946</v>
      </c>
      <c r="U21" s="211">
        <v>7215.27</v>
      </c>
      <c r="V21" s="213">
        <v>62567.33</v>
      </c>
      <c r="W21" s="213">
        <v>65.900000000000006</v>
      </c>
    </row>
    <row r="22" spans="2:23" ht="15" customHeight="1">
      <c r="B22" s="2" t="s">
        <v>2318</v>
      </c>
      <c r="C22" s="3">
        <v>10</v>
      </c>
      <c r="D22" s="15" t="s">
        <v>4</v>
      </c>
      <c r="F22" s="26">
        <v>38365</v>
      </c>
      <c r="G22" s="26">
        <f>+G432</f>
        <v>42827</v>
      </c>
      <c r="H22" s="26">
        <f t="shared" ref="H22:N22" si="6">+H432</f>
        <v>23800</v>
      </c>
      <c r="I22" s="26">
        <f t="shared" si="6"/>
        <v>41195</v>
      </c>
      <c r="J22" s="26">
        <f t="shared" si="6"/>
        <v>47291</v>
      </c>
      <c r="K22" s="26">
        <f t="shared" si="6"/>
        <v>42100</v>
      </c>
      <c r="L22" s="26">
        <f t="shared" si="6"/>
        <v>20228</v>
      </c>
      <c r="M22" s="26">
        <f t="shared" si="6"/>
        <v>38000</v>
      </c>
      <c r="N22" s="26">
        <f t="shared" si="6"/>
        <v>42100</v>
      </c>
      <c r="P22" s="202">
        <v>11</v>
      </c>
      <c r="Q22" s="210">
        <v>10</v>
      </c>
      <c r="R22" s="205" t="s">
        <v>4</v>
      </c>
      <c r="S22" s="206"/>
      <c r="T22" s="211">
        <v>42100</v>
      </c>
      <c r="U22" s="211">
        <v>3485</v>
      </c>
      <c r="V22" s="213">
        <v>23712.84</v>
      </c>
      <c r="W22" s="213">
        <v>56.33</v>
      </c>
    </row>
    <row r="23" spans="2:23" ht="15" customHeight="1">
      <c r="B23" s="2" t="s">
        <v>2318</v>
      </c>
      <c r="C23" s="3">
        <v>10</v>
      </c>
      <c r="D23" s="15" t="s">
        <v>5</v>
      </c>
      <c r="F23" s="26">
        <v>8165</v>
      </c>
      <c r="G23" s="26">
        <f>+G506</f>
        <v>9495</v>
      </c>
      <c r="H23" s="26">
        <f t="shared" ref="H23:N23" si="7">+H506</f>
        <v>3217</v>
      </c>
      <c r="I23" s="26">
        <f t="shared" si="7"/>
        <v>5804</v>
      </c>
      <c r="J23" s="26">
        <f t="shared" si="7"/>
        <v>1374</v>
      </c>
      <c r="K23" s="26">
        <f t="shared" si="7"/>
        <v>6795</v>
      </c>
      <c r="L23" s="26">
        <f t="shared" si="7"/>
        <v>699</v>
      </c>
      <c r="M23" s="26">
        <f t="shared" si="7"/>
        <v>3551</v>
      </c>
      <c r="N23" s="26">
        <f t="shared" si="7"/>
        <v>10440</v>
      </c>
      <c r="O23" s="275" t="s">
        <v>3067</v>
      </c>
      <c r="P23" s="202">
        <v>12</v>
      </c>
      <c r="Q23" s="210">
        <v>10</v>
      </c>
      <c r="R23" s="205" t="s">
        <v>5</v>
      </c>
      <c r="S23" s="206"/>
      <c r="T23" s="211">
        <v>6795</v>
      </c>
      <c r="U23" s="211">
        <v>188.38</v>
      </c>
      <c r="V23" s="213">
        <v>885.86</v>
      </c>
      <c r="W23" s="213">
        <v>13.04</v>
      </c>
    </row>
    <row r="24" spans="2:23" ht="15" customHeight="1">
      <c r="B24" s="2" t="s">
        <v>2318</v>
      </c>
      <c r="C24" s="3">
        <v>10</v>
      </c>
      <c r="D24" s="15" t="s">
        <v>6</v>
      </c>
      <c r="F24" s="26">
        <v>554059</v>
      </c>
      <c r="G24" s="26">
        <f>+G607</f>
        <v>629492</v>
      </c>
      <c r="H24" s="26">
        <f t="shared" ref="H24:N24" si="8">+H607</f>
        <v>654393</v>
      </c>
      <c r="I24" s="26">
        <f t="shared" si="8"/>
        <v>669947</v>
      </c>
      <c r="J24" s="26">
        <f t="shared" si="8"/>
        <v>708333</v>
      </c>
      <c r="K24" s="26">
        <f t="shared" si="8"/>
        <v>679422</v>
      </c>
      <c r="L24" s="26">
        <f t="shared" si="8"/>
        <v>333279</v>
      </c>
      <c r="M24" s="26">
        <f t="shared" si="8"/>
        <v>605219.72</v>
      </c>
      <c r="N24" s="26">
        <f t="shared" si="8"/>
        <v>683232</v>
      </c>
      <c r="P24" s="202">
        <v>13</v>
      </c>
      <c r="Q24" s="210">
        <v>10</v>
      </c>
      <c r="R24" s="205" t="s">
        <v>6</v>
      </c>
      <c r="S24" s="206"/>
      <c r="T24" s="211">
        <v>679422</v>
      </c>
      <c r="U24" s="211">
        <v>188962.47</v>
      </c>
      <c r="V24" s="213">
        <v>522239.7</v>
      </c>
      <c r="W24" s="213">
        <v>76.87</v>
      </c>
    </row>
    <row r="25" spans="2:23" ht="15" customHeight="1">
      <c r="B25" s="2" t="s">
        <v>2318</v>
      </c>
      <c r="C25" s="3">
        <v>10</v>
      </c>
      <c r="D25" s="15" t="s">
        <v>7</v>
      </c>
      <c r="F25" s="26">
        <v>161645</v>
      </c>
      <c r="G25" s="26">
        <f>+G701</f>
        <v>196203</v>
      </c>
      <c r="H25" s="26">
        <f t="shared" ref="H25:N25" si="9">+H701</f>
        <v>179430</v>
      </c>
      <c r="I25" s="26">
        <f t="shared" si="9"/>
        <v>181905</v>
      </c>
      <c r="J25" s="26">
        <f t="shared" si="9"/>
        <v>186413</v>
      </c>
      <c r="K25" s="26">
        <f t="shared" si="9"/>
        <v>187000</v>
      </c>
      <c r="L25" s="26">
        <f t="shared" si="9"/>
        <v>115575</v>
      </c>
      <c r="M25" s="26">
        <f t="shared" si="9"/>
        <v>182345.63</v>
      </c>
      <c r="N25" s="26">
        <f t="shared" si="9"/>
        <v>190515</v>
      </c>
      <c r="P25" s="202">
        <v>14</v>
      </c>
      <c r="Q25" s="210">
        <v>10</v>
      </c>
      <c r="R25" s="205" t="s">
        <v>7</v>
      </c>
      <c r="S25" s="206"/>
      <c r="T25" s="211">
        <v>187000</v>
      </c>
      <c r="U25" s="211">
        <v>14393.45</v>
      </c>
      <c r="V25" s="213">
        <v>129967.62</v>
      </c>
      <c r="W25" s="213">
        <v>69.5</v>
      </c>
    </row>
    <row r="26" spans="2:23" ht="15" customHeight="1">
      <c r="B26" s="2" t="s">
        <v>2318</v>
      </c>
      <c r="C26" s="3">
        <v>10</v>
      </c>
      <c r="D26" s="15" t="s">
        <v>8</v>
      </c>
      <c r="F26" s="26">
        <v>1440469</v>
      </c>
      <c r="G26" s="26">
        <f>+G805</f>
        <v>1626548</v>
      </c>
      <c r="H26" s="26">
        <f t="shared" ref="H26:N26" si="10">+H805</f>
        <v>1703626</v>
      </c>
      <c r="I26" s="26">
        <f t="shared" si="10"/>
        <v>1964425</v>
      </c>
      <c r="J26" s="26">
        <f t="shared" si="10"/>
        <v>1896514</v>
      </c>
      <c r="K26" s="26">
        <f t="shared" si="10"/>
        <v>1925049</v>
      </c>
      <c r="L26" s="26">
        <f t="shared" si="10"/>
        <v>1100218</v>
      </c>
      <c r="M26" s="26">
        <f t="shared" si="10"/>
        <v>1890201.65</v>
      </c>
      <c r="N26" s="26">
        <f t="shared" si="10"/>
        <v>1887987</v>
      </c>
      <c r="P26" s="202">
        <v>15</v>
      </c>
      <c r="Q26" s="210">
        <v>10</v>
      </c>
      <c r="R26" s="205" t="s">
        <v>8</v>
      </c>
      <c r="S26" s="206"/>
      <c r="T26" s="211">
        <v>1925049</v>
      </c>
      <c r="U26" s="211">
        <v>189542.96</v>
      </c>
      <c r="V26" s="213">
        <v>1289763.8400000001</v>
      </c>
      <c r="W26" s="213">
        <v>67</v>
      </c>
    </row>
    <row r="27" spans="2:23" ht="15" customHeight="1">
      <c r="B27" s="2" t="s">
        <v>2318</v>
      </c>
      <c r="C27" s="3">
        <v>10</v>
      </c>
      <c r="D27" s="15" t="s">
        <v>9</v>
      </c>
      <c r="F27" s="26">
        <v>916084</v>
      </c>
      <c r="G27" s="26">
        <f>+G913</f>
        <v>1066441</v>
      </c>
      <c r="H27" s="26">
        <f t="shared" ref="H27:N27" si="11">+H913</f>
        <v>988100</v>
      </c>
      <c r="I27" s="26">
        <f t="shared" si="11"/>
        <v>985124</v>
      </c>
      <c r="J27" s="26">
        <f t="shared" si="11"/>
        <v>1139366</v>
      </c>
      <c r="K27" s="26">
        <f t="shared" si="11"/>
        <v>1065568</v>
      </c>
      <c r="L27" s="26">
        <f t="shared" si="11"/>
        <v>648013</v>
      </c>
      <c r="M27" s="26">
        <f t="shared" si="11"/>
        <v>1095608.9899999998</v>
      </c>
      <c r="N27" s="26">
        <f t="shared" si="11"/>
        <v>1102205.6039999998</v>
      </c>
      <c r="O27" s="275" t="s">
        <v>3023</v>
      </c>
      <c r="P27" s="202">
        <v>16</v>
      </c>
      <c r="Q27" s="210">
        <v>10</v>
      </c>
      <c r="R27" s="205" t="s">
        <v>9</v>
      </c>
      <c r="S27" s="206"/>
      <c r="T27" s="211">
        <v>1065568</v>
      </c>
      <c r="U27" s="211">
        <v>87727.93</v>
      </c>
      <c r="V27" s="213">
        <v>735742.59</v>
      </c>
      <c r="W27" s="213">
        <v>69.05</v>
      </c>
    </row>
    <row r="28" spans="2:23" ht="15" customHeight="1">
      <c r="B28" s="2" t="s">
        <v>2318</v>
      </c>
      <c r="C28" s="3">
        <v>10</v>
      </c>
      <c r="D28" s="15" t="s">
        <v>10</v>
      </c>
      <c r="F28" s="26">
        <v>134445</v>
      </c>
      <c r="G28" s="26">
        <f>+G1010</f>
        <v>117034</v>
      </c>
      <c r="H28" s="26">
        <f t="shared" ref="H28:N28" si="12">+H1010</f>
        <v>165004</v>
      </c>
      <c r="I28" s="26">
        <f t="shared" si="12"/>
        <v>181199</v>
      </c>
      <c r="J28" s="26">
        <f t="shared" si="12"/>
        <v>152580</v>
      </c>
      <c r="K28" s="26">
        <f t="shared" si="12"/>
        <v>127887</v>
      </c>
      <c r="L28" s="26">
        <f t="shared" si="12"/>
        <v>82495</v>
      </c>
      <c r="M28" s="26">
        <f t="shared" si="12"/>
        <v>130961.23000000001</v>
      </c>
      <c r="N28" s="26">
        <f t="shared" si="12"/>
        <v>138363</v>
      </c>
      <c r="O28" s="275" t="s">
        <v>3066</v>
      </c>
      <c r="P28" s="202">
        <v>17</v>
      </c>
      <c r="Q28" s="210">
        <v>10</v>
      </c>
      <c r="R28" s="205" t="s">
        <v>10</v>
      </c>
      <c r="S28" s="206"/>
      <c r="T28" s="211">
        <v>127887</v>
      </c>
      <c r="U28" s="211">
        <v>14797.7</v>
      </c>
      <c r="V28" s="213">
        <v>97291.68</v>
      </c>
      <c r="W28" s="213">
        <v>76.08</v>
      </c>
    </row>
    <row r="29" spans="2:23" ht="15" customHeight="1">
      <c r="B29" s="2" t="s">
        <v>2318</v>
      </c>
      <c r="C29" s="3">
        <v>10</v>
      </c>
      <c r="D29" s="15" t="s">
        <v>11</v>
      </c>
      <c r="F29" s="26">
        <v>94070</v>
      </c>
      <c r="G29" s="26">
        <f>+G1091</f>
        <v>129592</v>
      </c>
      <c r="H29" s="26">
        <f t="shared" ref="H29:N29" si="13">+H1091</f>
        <v>142254</v>
      </c>
      <c r="I29" s="26">
        <f t="shared" si="13"/>
        <v>123148</v>
      </c>
      <c r="J29" s="26">
        <f t="shared" si="13"/>
        <v>209426</v>
      </c>
      <c r="K29" s="26">
        <f t="shared" si="13"/>
        <v>154405</v>
      </c>
      <c r="L29" s="26">
        <f t="shared" si="13"/>
        <v>113354</v>
      </c>
      <c r="M29" s="26">
        <f t="shared" si="13"/>
        <v>170395.51</v>
      </c>
      <c r="N29" s="26">
        <f t="shared" si="13"/>
        <v>211359.18599999999</v>
      </c>
      <c r="O29" s="275" t="s">
        <v>3021</v>
      </c>
      <c r="P29" s="202">
        <v>18</v>
      </c>
      <c r="Q29" s="210">
        <v>10</v>
      </c>
      <c r="R29" s="205" t="s">
        <v>11</v>
      </c>
      <c r="S29" s="206"/>
      <c r="T29" s="211">
        <v>154405</v>
      </c>
      <c r="U29" s="211">
        <v>6184.66</v>
      </c>
      <c r="V29" s="213">
        <v>119538.05</v>
      </c>
      <c r="W29" s="213">
        <v>77.42</v>
      </c>
    </row>
    <row r="30" spans="2:23" ht="15" customHeight="1">
      <c r="B30" s="2" t="s">
        <v>2318</v>
      </c>
      <c r="C30" s="3">
        <v>10</v>
      </c>
      <c r="D30" s="15" t="s">
        <v>2114</v>
      </c>
      <c r="F30" s="26">
        <v>0</v>
      </c>
      <c r="G30" s="26">
        <f>+G1170</f>
        <v>189</v>
      </c>
      <c r="H30" s="26">
        <f t="shared" ref="H30:N30" si="14">+H1170</f>
        <v>3915</v>
      </c>
      <c r="I30" s="26">
        <f t="shared" si="14"/>
        <v>12</v>
      </c>
      <c r="J30" s="26">
        <f t="shared" si="14"/>
        <v>4619</v>
      </c>
      <c r="K30" s="26">
        <f t="shared" si="14"/>
        <v>140941</v>
      </c>
      <c r="L30" s="26">
        <f t="shared" si="14"/>
        <v>3414</v>
      </c>
      <c r="M30" s="26">
        <f t="shared" si="14"/>
        <v>90942.5</v>
      </c>
      <c r="N30" s="26">
        <f t="shared" si="14"/>
        <v>88103</v>
      </c>
      <c r="O30" s="275" t="s">
        <v>3022</v>
      </c>
      <c r="P30" s="202">
        <v>19</v>
      </c>
      <c r="Q30" s="210">
        <v>10</v>
      </c>
      <c r="R30" s="205" t="s">
        <v>2616</v>
      </c>
      <c r="S30" s="206"/>
      <c r="T30" s="211">
        <v>140941</v>
      </c>
      <c r="U30" s="211">
        <v>8831.59</v>
      </c>
      <c r="V30" s="213">
        <v>12246.1</v>
      </c>
      <c r="W30" s="213">
        <v>8.69</v>
      </c>
    </row>
    <row r="31" spans="2:23" ht="15" customHeight="1">
      <c r="B31" s="2" t="s">
        <v>2318</v>
      </c>
      <c r="C31" s="3">
        <v>10</v>
      </c>
      <c r="D31" s="15" t="s">
        <v>12</v>
      </c>
      <c r="F31" s="26">
        <v>513317</v>
      </c>
      <c r="G31" s="26">
        <f>+G1271</f>
        <v>527713</v>
      </c>
      <c r="H31" s="26">
        <f t="shared" ref="H31:N31" si="15">+H1271</f>
        <v>728301</v>
      </c>
      <c r="I31" s="26">
        <f t="shared" si="15"/>
        <v>561694</v>
      </c>
      <c r="J31" s="26">
        <f t="shared" si="15"/>
        <v>696950</v>
      </c>
      <c r="K31" s="26">
        <f t="shared" si="15"/>
        <v>729388</v>
      </c>
      <c r="L31" s="26">
        <f t="shared" si="15"/>
        <v>479994</v>
      </c>
      <c r="M31" s="26">
        <f t="shared" si="15"/>
        <v>764597</v>
      </c>
      <c r="N31" s="26">
        <f t="shared" si="15"/>
        <v>728167.12</v>
      </c>
      <c r="O31" s="275" t="s">
        <v>3023</v>
      </c>
      <c r="P31" s="202">
        <v>20</v>
      </c>
      <c r="Q31" s="210">
        <v>10</v>
      </c>
      <c r="R31" s="205" t="s">
        <v>12</v>
      </c>
      <c r="S31" s="206"/>
      <c r="T31" s="211">
        <v>729388</v>
      </c>
      <c r="U31" s="211">
        <v>54779.75</v>
      </c>
      <c r="V31" s="213">
        <v>534771.93000000005</v>
      </c>
      <c r="W31" s="213">
        <v>73.319999999999993</v>
      </c>
    </row>
    <row r="32" spans="2:23" ht="15" customHeight="1">
      <c r="B32" s="2" t="s">
        <v>2318</v>
      </c>
      <c r="C32" s="3">
        <v>10</v>
      </c>
      <c r="D32" s="15" t="s">
        <v>13</v>
      </c>
      <c r="F32" s="26">
        <v>128242</v>
      </c>
      <c r="G32" s="26">
        <f>+G1371</f>
        <v>171430</v>
      </c>
      <c r="H32" s="26">
        <f t="shared" ref="H32:N32" si="16">+H1371</f>
        <v>118520</v>
      </c>
      <c r="I32" s="26">
        <f t="shared" si="16"/>
        <v>155198</v>
      </c>
      <c r="J32" s="26">
        <f t="shared" si="16"/>
        <v>177813</v>
      </c>
      <c r="K32" s="26">
        <f t="shared" si="16"/>
        <v>197024</v>
      </c>
      <c r="L32" s="26">
        <f t="shared" si="16"/>
        <v>97164</v>
      </c>
      <c r="M32" s="26">
        <f t="shared" si="16"/>
        <v>157719.72000000003</v>
      </c>
      <c r="N32" s="26">
        <f t="shared" si="16"/>
        <v>182054</v>
      </c>
      <c r="P32" s="202">
        <v>21</v>
      </c>
      <c r="Q32" s="210">
        <v>10</v>
      </c>
      <c r="R32" s="205" t="s">
        <v>13</v>
      </c>
      <c r="S32" s="206"/>
      <c r="T32" s="211">
        <v>197024</v>
      </c>
      <c r="U32" s="211">
        <v>17168.669999999998</v>
      </c>
      <c r="V32" s="213">
        <v>114332.54</v>
      </c>
      <c r="W32" s="213">
        <v>58.03</v>
      </c>
    </row>
    <row r="33" spans="1:23" ht="15" customHeight="1">
      <c r="B33" s="2" t="s">
        <v>2318</v>
      </c>
      <c r="C33" s="3">
        <v>10</v>
      </c>
      <c r="D33" s="15" t="s">
        <v>14</v>
      </c>
      <c r="F33" s="26">
        <v>44772</v>
      </c>
      <c r="G33" s="26">
        <f>+G1448</f>
        <v>55584</v>
      </c>
      <c r="H33" s="26">
        <f t="shared" ref="H33:N33" si="17">+H1448</f>
        <v>47188</v>
      </c>
      <c r="I33" s="26">
        <f t="shared" si="17"/>
        <v>46473</v>
      </c>
      <c r="J33" s="26">
        <f t="shared" si="17"/>
        <v>49624</v>
      </c>
      <c r="K33" s="26">
        <f t="shared" si="17"/>
        <v>47938</v>
      </c>
      <c r="L33" s="26">
        <f t="shared" si="17"/>
        <v>28373</v>
      </c>
      <c r="M33" s="26">
        <f t="shared" si="17"/>
        <v>50850.020000000004</v>
      </c>
      <c r="N33" s="26">
        <f t="shared" si="17"/>
        <v>52605</v>
      </c>
      <c r="P33" s="202">
        <v>22</v>
      </c>
      <c r="Q33" s="210">
        <v>10</v>
      </c>
      <c r="R33" s="205" t="s">
        <v>14</v>
      </c>
      <c r="S33" s="206"/>
      <c r="T33" s="211">
        <v>47938</v>
      </c>
      <c r="U33" s="211">
        <v>3863.19</v>
      </c>
      <c r="V33" s="213">
        <v>32237.49</v>
      </c>
      <c r="W33" s="213">
        <v>67.25</v>
      </c>
    </row>
    <row r="34" spans="1:23" ht="15" customHeight="1">
      <c r="B34" s="2" t="s">
        <v>2318</v>
      </c>
      <c r="C34" s="3">
        <v>10</v>
      </c>
      <c r="D34" s="15" t="s">
        <v>15</v>
      </c>
      <c r="F34" s="26">
        <v>88609</v>
      </c>
      <c r="G34" s="26">
        <f>+G1524</f>
        <v>129169</v>
      </c>
      <c r="H34" s="26">
        <f t="shared" ref="H34:N34" si="18">+H1524</f>
        <v>97526</v>
      </c>
      <c r="I34" s="26">
        <f t="shared" si="18"/>
        <v>115561</v>
      </c>
      <c r="J34" s="26">
        <f t="shared" si="18"/>
        <v>108038</v>
      </c>
      <c r="K34" s="26">
        <f t="shared" si="18"/>
        <v>119499</v>
      </c>
      <c r="L34" s="26">
        <f t="shared" si="18"/>
        <v>77787</v>
      </c>
      <c r="M34" s="26">
        <f t="shared" si="18"/>
        <v>119597.6</v>
      </c>
      <c r="N34" s="26">
        <f t="shared" si="18"/>
        <v>122683</v>
      </c>
      <c r="P34" s="202">
        <v>23</v>
      </c>
      <c r="Q34" s="210">
        <v>10</v>
      </c>
      <c r="R34" s="205" t="s">
        <v>15</v>
      </c>
      <c r="S34" s="206"/>
      <c r="T34" s="211">
        <v>119499</v>
      </c>
      <c r="U34" s="211">
        <v>7801.74</v>
      </c>
      <c r="V34" s="213">
        <v>85588.82</v>
      </c>
      <c r="W34" s="213">
        <v>71.62</v>
      </c>
    </row>
    <row r="35" spans="1:23" ht="15" customHeight="1">
      <c r="B35" s="2" t="s">
        <v>2318</v>
      </c>
      <c r="C35" s="3">
        <v>10</v>
      </c>
      <c r="D35" s="15" t="s">
        <v>2161</v>
      </c>
      <c r="F35" s="26">
        <v>176326</v>
      </c>
      <c r="G35" s="26">
        <f>+G1610</f>
        <v>158245</v>
      </c>
      <c r="H35" s="26">
        <f t="shared" ref="H35:N35" si="19">+H1610</f>
        <v>245866</v>
      </c>
      <c r="I35" s="26">
        <f t="shared" si="19"/>
        <v>197073</v>
      </c>
      <c r="J35" s="26">
        <f t="shared" si="19"/>
        <v>203303</v>
      </c>
      <c r="K35" s="26">
        <f t="shared" si="19"/>
        <v>199586</v>
      </c>
      <c r="L35" s="26">
        <f t="shared" si="19"/>
        <v>98862</v>
      </c>
      <c r="M35" s="26">
        <f t="shared" si="19"/>
        <v>179699.12</v>
      </c>
      <c r="N35" s="26">
        <f t="shared" si="19"/>
        <v>193405</v>
      </c>
      <c r="P35" s="202">
        <v>24</v>
      </c>
      <c r="Q35" s="210">
        <v>10</v>
      </c>
      <c r="R35" s="205" t="s">
        <v>2617</v>
      </c>
      <c r="S35" s="206"/>
      <c r="T35" s="211">
        <v>199586</v>
      </c>
      <c r="U35" s="211">
        <v>18719.060000000001</v>
      </c>
      <c r="V35" s="213">
        <v>117580.84</v>
      </c>
      <c r="W35" s="213">
        <v>58.91</v>
      </c>
    </row>
    <row r="36" spans="1:23" ht="15" customHeight="1">
      <c r="B36" s="2" t="s">
        <v>2318</v>
      </c>
      <c r="C36" s="3">
        <v>10</v>
      </c>
      <c r="D36" s="15" t="s">
        <v>2857</v>
      </c>
      <c r="F36" s="26">
        <v>51463</v>
      </c>
      <c r="G36" s="26">
        <f>+G1701</f>
        <v>53117</v>
      </c>
      <c r="H36" s="26">
        <f t="shared" ref="H36:N36" si="20">+H1701</f>
        <v>95785</v>
      </c>
      <c r="I36" s="26">
        <f t="shared" si="20"/>
        <v>7403</v>
      </c>
      <c r="J36" s="26">
        <f t="shared" si="20"/>
        <v>56630</v>
      </c>
      <c r="K36" s="26">
        <f t="shared" si="20"/>
        <v>60749</v>
      </c>
      <c r="L36" s="26">
        <f t="shared" si="20"/>
        <v>31400</v>
      </c>
      <c r="M36" s="26">
        <f t="shared" si="20"/>
        <v>55927.169999999991</v>
      </c>
      <c r="N36" s="26">
        <f t="shared" si="20"/>
        <v>63448</v>
      </c>
      <c r="P36" s="202">
        <v>25</v>
      </c>
      <c r="Q36" s="210">
        <v>10</v>
      </c>
      <c r="R36" s="205" t="s">
        <v>16</v>
      </c>
      <c r="S36" s="206"/>
      <c r="T36" s="211">
        <v>60749</v>
      </c>
      <c r="U36" s="211">
        <v>8563.7800000000007</v>
      </c>
      <c r="V36" s="213">
        <v>39966.550000000003</v>
      </c>
      <c r="W36" s="213">
        <v>65.790000000000006</v>
      </c>
    </row>
    <row r="37" spans="1:23" ht="15" customHeight="1">
      <c r="B37" s="2" t="s">
        <v>2318</v>
      </c>
      <c r="C37" s="3">
        <v>10</v>
      </c>
      <c r="D37" s="15" t="s">
        <v>17</v>
      </c>
      <c r="F37" s="26">
        <v>337571</v>
      </c>
      <c r="G37" s="26">
        <f>+G1748</f>
        <v>374996</v>
      </c>
      <c r="H37" s="26">
        <f t="shared" ref="H37:N37" si="21">+H1748</f>
        <v>420507</v>
      </c>
      <c r="I37" s="26">
        <f t="shared" si="21"/>
        <v>404536</v>
      </c>
      <c r="J37" s="26">
        <f t="shared" si="21"/>
        <v>422610</v>
      </c>
      <c r="K37" s="26">
        <f t="shared" si="21"/>
        <v>391264</v>
      </c>
      <c r="L37" s="26">
        <f t="shared" si="21"/>
        <v>241127</v>
      </c>
      <c r="M37" s="26">
        <f t="shared" si="21"/>
        <v>384157</v>
      </c>
      <c r="N37" s="26">
        <f t="shared" si="21"/>
        <v>393346</v>
      </c>
      <c r="P37" s="202">
        <v>26</v>
      </c>
      <c r="Q37" s="210">
        <v>10</v>
      </c>
      <c r="R37" s="205" t="s">
        <v>17</v>
      </c>
      <c r="S37" s="206"/>
      <c r="T37" s="211">
        <v>391264</v>
      </c>
      <c r="U37" s="211">
        <v>22673.21</v>
      </c>
      <c r="V37" s="213">
        <v>263801.17</v>
      </c>
      <c r="W37" s="213">
        <v>67.42</v>
      </c>
    </row>
    <row r="38" spans="1:23" ht="15" customHeight="1">
      <c r="B38" s="2" t="s">
        <v>2318</v>
      </c>
      <c r="C38" s="3">
        <v>10</v>
      </c>
      <c r="D38" s="15" t="s">
        <v>18</v>
      </c>
      <c r="F38" s="26">
        <v>0</v>
      </c>
      <c r="G38" s="26">
        <f>+G1796</f>
        <v>0</v>
      </c>
      <c r="H38" s="26">
        <f t="shared" ref="H38:N38" si="22">+H1796</f>
        <v>0</v>
      </c>
      <c r="I38" s="26">
        <f t="shared" si="22"/>
        <v>0</v>
      </c>
      <c r="J38" s="26">
        <f t="shared" si="22"/>
        <v>54090</v>
      </c>
      <c r="K38" s="26">
        <f t="shared" si="22"/>
        <v>86586</v>
      </c>
      <c r="L38" s="26">
        <f t="shared" si="22"/>
        <v>43233</v>
      </c>
      <c r="M38" s="26">
        <f t="shared" si="22"/>
        <v>86449.459999999992</v>
      </c>
      <c r="N38" s="26">
        <f t="shared" si="22"/>
        <v>98253</v>
      </c>
      <c r="O38" s="275" t="s">
        <v>3024</v>
      </c>
      <c r="P38" s="202">
        <v>27</v>
      </c>
      <c r="Q38" s="210">
        <v>10</v>
      </c>
      <c r="R38" s="205" t="s">
        <v>18</v>
      </c>
      <c r="S38" s="206"/>
      <c r="T38" s="211">
        <v>86586</v>
      </c>
      <c r="U38" s="211">
        <v>6522.76</v>
      </c>
      <c r="V38" s="213">
        <v>49756.44</v>
      </c>
      <c r="W38" s="213">
        <v>57.46</v>
      </c>
    </row>
    <row r="39" spans="1:23" ht="15" customHeight="1">
      <c r="G39" s="26"/>
      <c r="H39" s="26"/>
      <c r="I39" s="26"/>
      <c r="J39" s="26"/>
      <c r="K39" s="26"/>
      <c r="L39" s="26"/>
      <c r="M39" s="26"/>
      <c r="N39" s="26"/>
      <c r="P39" s="202">
        <v>28</v>
      </c>
      <c r="Q39" s="210">
        <v>10</v>
      </c>
      <c r="R39" s="205" t="s">
        <v>2618</v>
      </c>
      <c r="S39" s="206"/>
      <c r="T39" s="211">
        <v>6457922</v>
      </c>
      <c r="U39" s="211">
        <v>675806.83</v>
      </c>
      <c r="V39" s="213">
        <v>4373215.42</v>
      </c>
      <c r="W39" s="213">
        <v>67.72</v>
      </c>
    </row>
    <row r="40" spans="1:23" s="29" customFormat="1" ht="15" customHeight="1" thickBot="1">
      <c r="A40" s="2"/>
      <c r="B40" s="2" t="s">
        <v>2318</v>
      </c>
      <c r="C40" s="3"/>
      <c r="D40" s="68" t="s">
        <v>2194</v>
      </c>
      <c r="E40" s="68"/>
      <c r="F40" s="320"/>
      <c r="G40" s="321">
        <f>+G1798</f>
        <v>5704680</v>
      </c>
      <c r="H40" s="321">
        <f t="shared" ref="H40:N40" si="23">+H1798</f>
        <v>5989539</v>
      </c>
      <c r="I40" s="321">
        <f t="shared" si="23"/>
        <v>6006776</v>
      </c>
      <c r="J40" s="321">
        <f t="shared" si="23"/>
        <v>6391282</v>
      </c>
      <c r="K40" s="321">
        <f t="shared" si="23"/>
        <v>6457922</v>
      </c>
      <c r="L40" s="321">
        <f t="shared" si="23"/>
        <v>3697411</v>
      </c>
      <c r="M40" s="321">
        <f>+M1798</f>
        <v>6313068.2299999995</v>
      </c>
      <c r="N40" s="321">
        <f t="shared" si="23"/>
        <v>6498599.9100000001</v>
      </c>
      <c r="O40" s="283"/>
      <c r="P40" s="202">
        <v>29</v>
      </c>
      <c r="Q40" s="210">
        <v>10</v>
      </c>
      <c r="R40" s="205" t="s">
        <v>2619</v>
      </c>
      <c r="S40" s="206"/>
      <c r="T40" s="211">
        <v>4551</v>
      </c>
      <c r="U40" s="211">
        <v>-267742.2</v>
      </c>
      <c r="V40" s="213">
        <v>101487.09</v>
      </c>
      <c r="W40" s="213">
        <v>230</v>
      </c>
    </row>
    <row r="41" spans="1:23" s="5" customFormat="1" ht="15" customHeight="1" thickTop="1">
      <c r="A41" s="2"/>
      <c r="B41" s="2"/>
      <c r="C41" s="3"/>
      <c r="D41" s="15"/>
      <c r="E41" s="15"/>
      <c r="F41" s="105"/>
      <c r="G41" s="26"/>
      <c r="H41" s="26"/>
      <c r="I41" s="26"/>
      <c r="J41" s="26"/>
      <c r="K41" s="26"/>
      <c r="L41" s="26"/>
      <c r="M41" s="26"/>
      <c r="N41" s="26"/>
      <c r="O41" s="282"/>
      <c r="P41" s="202">
        <v>30</v>
      </c>
      <c r="Q41" s="210">
        <v>10</v>
      </c>
      <c r="R41" s="205">
        <v>4010.1010000000001</v>
      </c>
      <c r="S41" s="206" t="s">
        <v>19</v>
      </c>
      <c r="T41" s="211">
        <v>1286768</v>
      </c>
      <c r="U41" s="211">
        <v>12873.68</v>
      </c>
      <c r="V41" s="213">
        <v>1244605.96</v>
      </c>
      <c r="W41" s="213">
        <v>96.72</v>
      </c>
    </row>
    <row r="42" spans="1:23" s="30" customFormat="1" ht="15" customHeight="1" thickBot="1">
      <c r="A42" s="2"/>
      <c r="B42" s="2" t="s">
        <v>2318</v>
      </c>
      <c r="C42" s="3"/>
      <c r="D42" s="321" t="str">
        <f>+D1800</f>
        <v>*** FUND 10 REVENUES OVER(UNDER) EXPENSES ***</v>
      </c>
      <c r="E42" s="321"/>
      <c r="F42" s="321">
        <f>+F1800</f>
        <v>0</v>
      </c>
      <c r="G42" s="321">
        <f>+G1800</f>
        <v>-532827</v>
      </c>
      <c r="H42" s="321">
        <f t="shared" ref="H42:N42" si="24">+H1800</f>
        <v>-14594</v>
      </c>
      <c r="I42" s="321">
        <f t="shared" si="24"/>
        <v>-176164</v>
      </c>
      <c r="J42" s="321">
        <f t="shared" si="24"/>
        <v>-517084</v>
      </c>
      <c r="K42" s="321">
        <f t="shared" si="24"/>
        <v>4551</v>
      </c>
      <c r="L42" s="321">
        <f t="shared" si="24"/>
        <v>369228</v>
      </c>
      <c r="M42" s="321">
        <f t="shared" si="24"/>
        <v>121385.77000000048</v>
      </c>
      <c r="N42" s="321">
        <f t="shared" si="24"/>
        <v>121504.91944746021</v>
      </c>
      <c r="O42" s="284"/>
      <c r="P42" s="202">
        <v>31</v>
      </c>
      <c r="Q42" s="210">
        <v>10</v>
      </c>
      <c r="R42" s="205">
        <v>4010.1030000000001</v>
      </c>
      <c r="S42" s="206" t="s">
        <v>20</v>
      </c>
      <c r="T42" s="211">
        <v>55000</v>
      </c>
      <c r="U42" s="211">
        <v>2608.2600000000002</v>
      </c>
      <c r="V42" s="213">
        <v>33839.410000000003</v>
      </c>
      <c r="W42" s="213">
        <v>61.53</v>
      </c>
    </row>
    <row r="43" spans="1:23" s="250" customFormat="1" ht="15" customHeight="1" thickTop="1">
      <c r="A43" s="2"/>
      <c r="B43" s="2"/>
      <c r="C43" s="3"/>
      <c r="D43" s="15"/>
      <c r="E43" s="15"/>
      <c r="F43" s="105"/>
      <c r="G43" s="26"/>
      <c r="H43" s="26"/>
      <c r="I43" s="26"/>
      <c r="J43" s="26"/>
      <c r="K43" s="26"/>
      <c r="L43" s="26"/>
      <c r="M43" s="26"/>
      <c r="N43" s="26"/>
      <c r="O43" s="282"/>
      <c r="P43" s="202"/>
      <c r="Q43" s="210"/>
      <c r="R43" s="205"/>
      <c r="S43" s="206"/>
      <c r="T43" s="211"/>
      <c r="U43" s="211"/>
      <c r="V43" s="213"/>
      <c r="W43" s="213"/>
    </row>
    <row r="44" spans="1:23" ht="15" customHeight="1">
      <c r="D44" s="54" t="s">
        <v>2875</v>
      </c>
      <c r="E44" s="54"/>
      <c r="F44" s="192"/>
      <c r="G44" s="55"/>
      <c r="H44" s="55"/>
      <c r="I44" s="55"/>
      <c r="J44" s="55">
        <f>J8+J42</f>
        <v>511540</v>
      </c>
      <c r="K44" s="55">
        <f>+K8+K14-K40</f>
        <v>516091</v>
      </c>
      <c r="L44" s="55"/>
      <c r="M44" s="55">
        <f>+M8+M14-M40</f>
        <v>632925.77000000048</v>
      </c>
      <c r="N44" s="55">
        <f>+N8+N14-N40</f>
        <v>754430.6894474607</v>
      </c>
      <c r="O44" s="278"/>
      <c r="P44" s="203"/>
      <c r="Q44" s="204"/>
      <c r="R44" s="205"/>
      <c r="S44" s="206"/>
      <c r="T44" s="207"/>
      <c r="U44" s="207"/>
      <c r="V44" s="208"/>
      <c r="W44" s="212"/>
    </row>
    <row r="45" spans="1:23" s="5" customFormat="1" ht="15" customHeight="1">
      <c r="A45" s="2"/>
      <c r="B45" s="2"/>
      <c r="C45" s="3"/>
      <c r="D45" s="15"/>
      <c r="E45" s="15"/>
      <c r="F45" s="105"/>
      <c r="G45" s="26"/>
      <c r="H45" s="26"/>
      <c r="I45" s="26"/>
      <c r="J45" s="26"/>
      <c r="K45" s="26"/>
      <c r="L45" s="26"/>
      <c r="M45" s="26"/>
      <c r="N45" s="26"/>
      <c r="O45" s="282"/>
      <c r="P45" s="202">
        <v>32</v>
      </c>
      <c r="Q45" s="210">
        <v>10</v>
      </c>
      <c r="R45" s="205">
        <v>4010.105</v>
      </c>
      <c r="S45" s="206" t="s">
        <v>21</v>
      </c>
      <c r="T45" s="211">
        <v>40000</v>
      </c>
      <c r="U45" s="211">
        <v>2782.01</v>
      </c>
      <c r="V45" s="213">
        <v>20544.740000000002</v>
      </c>
      <c r="W45" s="213">
        <v>51.36</v>
      </c>
    </row>
    <row r="46" spans="1:23" s="5" customFormat="1" ht="15" customHeight="1">
      <c r="A46" s="2"/>
      <c r="B46" s="2"/>
      <c r="C46" s="3"/>
      <c r="D46" s="47" t="s">
        <v>2191</v>
      </c>
      <c r="E46" s="15"/>
      <c r="F46" s="105"/>
      <c r="G46" s="26"/>
      <c r="H46" s="26"/>
      <c r="I46" s="26"/>
      <c r="J46" s="26"/>
      <c r="K46" s="26"/>
      <c r="L46" s="26"/>
      <c r="M46" s="26"/>
      <c r="N46" s="26"/>
      <c r="O46" s="282"/>
      <c r="P46" s="202">
        <v>33</v>
      </c>
      <c r="Q46" s="210">
        <v>10</v>
      </c>
      <c r="R46" s="205">
        <v>4030</v>
      </c>
      <c r="S46" s="206" t="s">
        <v>22</v>
      </c>
      <c r="T46" s="211">
        <v>1193000</v>
      </c>
      <c r="U46" s="211">
        <v>104733.17</v>
      </c>
      <c r="V46" s="213">
        <v>755505.11</v>
      </c>
      <c r="W46" s="213">
        <v>63.33</v>
      </c>
    </row>
    <row r="47" spans="1:23" s="5" customFormat="1" ht="15" customHeight="1">
      <c r="A47" s="2"/>
      <c r="B47" s="2"/>
      <c r="C47" s="3"/>
      <c r="D47" s="15"/>
      <c r="E47" s="15"/>
      <c r="F47" s="105"/>
      <c r="G47" s="26"/>
      <c r="H47" s="26"/>
      <c r="I47" s="26"/>
      <c r="J47" s="26"/>
      <c r="K47" s="26"/>
      <c r="L47" s="26"/>
      <c r="M47" s="26"/>
      <c r="N47" s="26"/>
      <c r="O47" s="282"/>
      <c r="P47" s="202">
        <v>34</v>
      </c>
      <c r="Q47" s="210">
        <v>10</v>
      </c>
      <c r="R47" s="205">
        <v>4050</v>
      </c>
      <c r="S47" s="206" t="s">
        <v>23</v>
      </c>
      <c r="T47" s="211">
        <v>733000</v>
      </c>
      <c r="U47" s="211">
        <v>40303.54</v>
      </c>
      <c r="V47" s="213">
        <v>495050.68</v>
      </c>
      <c r="W47" s="213">
        <v>67.540000000000006</v>
      </c>
    </row>
    <row r="48" spans="1:23" ht="15" customHeight="1">
      <c r="C48" s="3">
        <v>10</v>
      </c>
      <c r="D48" s="15">
        <v>4010.1010000000001</v>
      </c>
      <c r="E48" s="312" t="s">
        <v>19</v>
      </c>
      <c r="G48" s="26">
        <v>1211438</v>
      </c>
      <c r="H48" s="26">
        <v>1252902</v>
      </c>
      <c r="I48" s="26">
        <v>1272473</v>
      </c>
      <c r="J48" s="26">
        <v>1273120</v>
      </c>
      <c r="K48" s="26">
        <v>1286768</v>
      </c>
      <c r="L48" s="26">
        <v>1231732</v>
      </c>
      <c r="M48" s="26">
        <v>1299768</v>
      </c>
      <c r="N48" s="26">
        <f>(373705770/100)*0.360778*0.9574</f>
        <v>1290812.8294474606</v>
      </c>
      <c r="O48" s="285" t="s">
        <v>3029</v>
      </c>
      <c r="P48" s="202">
        <v>35</v>
      </c>
      <c r="Q48" s="210">
        <v>10</v>
      </c>
      <c r="R48" s="205">
        <v>4070</v>
      </c>
      <c r="S48" s="206" t="s">
        <v>24</v>
      </c>
      <c r="T48" s="211">
        <v>4000</v>
      </c>
      <c r="U48" s="211">
        <v>0</v>
      </c>
      <c r="V48" s="213">
        <v>2149.96</v>
      </c>
      <c r="W48" s="213">
        <v>53.75</v>
      </c>
    </row>
    <row r="49" spans="3:23" ht="15" customHeight="1">
      <c r="C49" s="3">
        <v>10</v>
      </c>
      <c r="D49" s="15">
        <v>4010.1030000000001</v>
      </c>
      <c r="E49" s="312" t="s">
        <v>20</v>
      </c>
      <c r="G49" s="26">
        <v>44689</v>
      </c>
      <c r="H49" s="26">
        <v>34091</v>
      </c>
      <c r="I49" s="26">
        <v>60020</v>
      </c>
      <c r="J49" s="26">
        <v>49939</v>
      </c>
      <c r="K49" s="26">
        <v>55000</v>
      </c>
      <c r="L49" s="26">
        <v>31231</v>
      </c>
      <c r="M49" s="26">
        <v>60000</v>
      </c>
      <c r="N49" s="26">
        <v>57000</v>
      </c>
      <c r="O49" s="285"/>
      <c r="P49" s="202">
        <v>36</v>
      </c>
      <c r="Q49" s="210">
        <v>10</v>
      </c>
      <c r="R49" s="205">
        <v>4090</v>
      </c>
      <c r="S49" s="206" t="s">
        <v>25</v>
      </c>
      <c r="T49" s="211">
        <v>150000</v>
      </c>
      <c r="U49" s="211">
        <v>11437.05</v>
      </c>
      <c r="V49" s="213">
        <v>114076.51</v>
      </c>
      <c r="W49" s="213">
        <v>76.05</v>
      </c>
    </row>
    <row r="50" spans="3:23" ht="15" customHeight="1">
      <c r="C50" s="3">
        <v>10</v>
      </c>
      <c r="D50" s="15">
        <v>4010.105</v>
      </c>
      <c r="E50" s="312" t="s">
        <v>21</v>
      </c>
      <c r="G50" s="26">
        <v>34864</v>
      </c>
      <c r="H50" s="26">
        <v>26577</v>
      </c>
      <c r="I50" s="26">
        <v>40164</v>
      </c>
      <c r="J50" s="26">
        <v>36435</v>
      </c>
      <c r="K50" s="26">
        <v>40000</v>
      </c>
      <c r="L50" s="26">
        <v>17763</v>
      </c>
      <c r="M50" s="26">
        <v>40000</v>
      </c>
      <c r="N50" s="26">
        <v>41000</v>
      </c>
      <c r="O50" s="285"/>
      <c r="P50" s="202">
        <v>37</v>
      </c>
      <c r="Q50" s="210">
        <v>10</v>
      </c>
      <c r="R50" s="205">
        <v>4130.2</v>
      </c>
      <c r="S50" s="206" t="s">
        <v>26</v>
      </c>
      <c r="T50" s="211">
        <v>672453</v>
      </c>
      <c r="U50" s="211">
        <v>56037.75</v>
      </c>
      <c r="V50" s="213">
        <v>448302</v>
      </c>
      <c r="W50" s="213">
        <v>66.67</v>
      </c>
    </row>
    <row r="51" spans="3:23" ht="15" customHeight="1">
      <c r="C51" s="3">
        <v>10</v>
      </c>
      <c r="D51" s="15">
        <v>4030</v>
      </c>
      <c r="E51" s="312" t="s">
        <v>22</v>
      </c>
      <c r="G51" s="26">
        <v>1010571</v>
      </c>
      <c r="H51" s="26">
        <v>1124214</v>
      </c>
      <c r="I51" s="26">
        <v>924027</v>
      </c>
      <c r="J51" s="26">
        <v>1142656</v>
      </c>
      <c r="K51" s="26">
        <v>1193000</v>
      </c>
      <c r="L51" s="26">
        <v>650772</v>
      </c>
      <c r="M51" s="26">
        <v>1190000</v>
      </c>
      <c r="N51" s="26">
        <v>1200000</v>
      </c>
      <c r="O51" s="285"/>
      <c r="P51" s="202">
        <v>38</v>
      </c>
      <c r="Q51" s="210">
        <v>10</v>
      </c>
      <c r="R51" s="205">
        <v>4130.6000000000004</v>
      </c>
      <c r="S51" s="206" t="s">
        <v>27</v>
      </c>
      <c r="T51" s="211">
        <v>50000</v>
      </c>
      <c r="U51" s="211">
        <v>0</v>
      </c>
      <c r="V51" s="213">
        <v>0</v>
      </c>
      <c r="W51" s="213">
        <v>0</v>
      </c>
    </row>
    <row r="52" spans="3:23" ht="15" customHeight="1">
      <c r="C52" s="3">
        <v>10</v>
      </c>
      <c r="D52" s="15">
        <v>4050</v>
      </c>
      <c r="E52" s="312" t="s">
        <v>23</v>
      </c>
      <c r="G52" s="26">
        <v>697662</v>
      </c>
      <c r="H52" s="26">
        <v>729253</v>
      </c>
      <c r="I52" s="26">
        <v>646505</v>
      </c>
      <c r="J52" s="26">
        <v>668752</v>
      </c>
      <c r="K52" s="26">
        <v>733000</v>
      </c>
      <c r="L52" s="26">
        <v>454747</v>
      </c>
      <c r="M52" s="26">
        <v>720000</v>
      </c>
      <c r="N52" s="26">
        <f>720000-16000</f>
        <v>704000</v>
      </c>
      <c r="O52" s="285" t="s">
        <v>3025</v>
      </c>
      <c r="P52" s="202">
        <v>39</v>
      </c>
      <c r="Q52" s="210">
        <v>10</v>
      </c>
      <c r="R52" s="205">
        <v>4130.75</v>
      </c>
      <c r="S52" s="206" t="s">
        <v>2536</v>
      </c>
      <c r="T52" s="211">
        <v>0</v>
      </c>
      <c r="U52" s="211">
        <v>0</v>
      </c>
      <c r="V52" s="213">
        <v>0</v>
      </c>
      <c r="W52" s="213">
        <v>0</v>
      </c>
    </row>
    <row r="53" spans="3:23" ht="15" customHeight="1">
      <c r="C53" s="3">
        <v>10</v>
      </c>
      <c r="D53" s="15">
        <v>4070</v>
      </c>
      <c r="E53" s="312" t="s">
        <v>24</v>
      </c>
      <c r="G53" s="26">
        <v>5590</v>
      </c>
      <c r="H53" s="26">
        <v>5161</v>
      </c>
      <c r="I53" s="26">
        <v>2621</v>
      </c>
      <c r="J53" s="26">
        <v>4007</v>
      </c>
      <c r="K53" s="26">
        <v>4000</v>
      </c>
      <c r="L53" s="26">
        <v>2150</v>
      </c>
      <c r="M53" s="26">
        <v>4000</v>
      </c>
      <c r="N53" s="26">
        <v>4000</v>
      </c>
      <c r="O53" s="285"/>
      <c r="P53" s="202">
        <v>40</v>
      </c>
      <c r="Q53" s="210">
        <v>10</v>
      </c>
      <c r="R53" s="205">
        <v>4150</v>
      </c>
      <c r="S53" s="206" t="s">
        <v>28</v>
      </c>
      <c r="T53" s="211">
        <v>150000</v>
      </c>
      <c r="U53" s="211">
        <v>10033.780000000001</v>
      </c>
      <c r="V53" s="213">
        <v>92222.73</v>
      </c>
      <c r="W53" s="213">
        <v>61.48</v>
      </c>
    </row>
    <row r="54" spans="3:23" ht="15" customHeight="1">
      <c r="C54" s="3">
        <v>10</v>
      </c>
      <c r="D54" s="15">
        <v>4090</v>
      </c>
      <c r="E54" s="312" t="s">
        <v>25</v>
      </c>
      <c r="G54" s="26">
        <v>86218</v>
      </c>
      <c r="H54" s="26">
        <v>105104</v>
      </c>
      <c r="I54" s="26">
        <v>164242</v>
      </c>
      <c r="J54" s="26">
        <v>113937</v>
      </c>
      <c r="K54" s="26">
        <v>150000</v>
      </c>
      <c r="L54" s="26">
        <v>102639</v>
      </c>
      <c r="M54" s="26">
        <v>150000</v>
      </c>
      <c r="N54" s="26">
        <v>150000</v>
      </c>
      <c r="O54" s="285"/>
      <c r="P54" s="202">
        <v>41</v>
      </c>
      <c r="Q54" s="210">
        <v>10</v>
      </c>
      <c r="R54" s="205" t="s">
        <v>2549</v>
      </c>
      <c r="S54" s="206" t="s">
        <v>2537</v>
      </c>
      <c r="T54" s="211">
        <v>0</v>
      </c>
      <c r="U54" s="211">
        <v>57.56</v>
      </c>
      <c r="V54" s="213">
        <v>660.93</v>
      </c>
      <c r="W54" s="213">
        <v>0</v>
      </c>
    </row>
    <row r="55" spans="3:23" ht="15" customHeight="1">
      <c r="C55" s="3">
        <v>10</v>
      </c>
      <c r="D55" s="313">
        <v>4130.2</v>
      </c>
      <c r="E55" s="312" t="s">
        <v>26</v>
      </c>
      <c r="G55" s="26">
        <v>277669</v>
      </c>
      <c r="H55" s="26">
        <v>499788</v>
      </c>
      <c r="I55" s="26">
        <v>682904</v>
      </c>
      <c r="J55" s="26">
        <v>672453</v>
      </c>
      <c r="K55" s="26">
        <v>672453</v>
      </c>
      <c r="L55" s="26">
        <v>392264</v>
      </c>
      <c r="M55" s="26">
        <v>672453</v>
      </c>
      <c r="N55" s="26">
        <v>560000</v>
      </c>
      <c r="O55" s="285" t="s">
        <v>2918</v>
      </c>
      <c r="P55" s="202">
        <v>42</v>
      </c>
      <c r="Q55" s="210">
        <v>10</v>
      </c>
      <c r="R55" s="205" t="s">
        <v>29</v>
      </c>
      <c r="S55" s="206" t="s">
        <v>30</v>
      </c>
      <c r="T55" s="211">
        <v>0</v>
      </c>
      <c r="U55" s="211">
        <v>666.24</v>
      </c>
      <c r="V55" s="213">
        <v>8216.52</v>
      </c>
      <c r="W55" s="213">
        <v>0</v>
      </c>
    </row>
    <row r="56" spans="3:23" ht="15" customHeight="1">
      <c r="C56" s="3">
        <v>10</v>
      </c>
      <c r="D56" s="313">
        <v>4130.6000000000004</v>
      </c>
      <c r="E56" s="312" t="s">
        <v>27</v>
      </c>
      <c r="G56" s="26">
        <v>20569</v>
      </c>
      <c r="H56" s="26">
        <v>8000</v>
      </c>
      <c r="I56" s="26">
        <v>25000</v>
      </c>
      <c r="J56" s="26">
        <v>0</v>
      </c>
      <c r="K56" s="26">
        <v>50000</v>
      </c>
      <c r="L56" s="26">
        <v>0</v>
      </c>
      <c r="M56" s="26">
        <v>50000</v>
      </c>
      <c r="N56" s="26">
        <f>35000+14750</f>
        <v>49750</v>
      </c>
      <c r="O56" s="285" t="s">
        <v>3062</v>
      </c>
      <c r="P56" s="202">
        <v>43</v>
      </c>
      <c r="Q56" s="210">
        <v>10</v>
      </c>
      <c r="R56" s="205" t="s">
        <v>31</v>
      </c>
      <c r="S56" s="206" t="s">
        <v>32</v>
      </c>
      <c r="T56" s="211">
        <v>0</v>
      </c>
      <c r="U56" s="211">
        <v>64.290000000000006</v>
      </c>
      <c r="V56" s="213">
        <v>1093.01</v>
      </c>
      <c r="W56" s="213">
        <v>0</v>
      </c>
    </row>
    <row r="57" spans="3:23" ht="15" customHeight="1">
      <c r="C57" s="3">
        <v>10</v>
      </c>
      <c r="D57" s="15">
        <v>4130.75</v>
      </c>
      <c r="E57" s="312" t="s">
        <v>2536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85"/>
      <c r="P57" s="202">
        <v>44</v>
      </c>
      <c r="Q57" s="210">
        <v>10</v>
      </c>
      <c r="R57" s="205" t="s">
        <v>33</v>
      </c>
      <c r="S57" s="206" t="s">
        <v>34</v>
      </c>
      <c r="T57" s="211">
        <v>0</v>
      </c>
      <c r="U57" s="211">
        <v>147.4</v>
      </c>
      <c r="V57" s="213">
        <v>1160.55</v>
      </c>
      <c r="W57" s="213">
        <v>0</v>
      </c>
    </row>
    <row r="58" spans="3:23" ht="15" customHeight="1">
      <c r="C58" s="3">
        <v>10</v>
      </c>
      <c r="D58" s="15">
        <v>4150</v>
      </c>
      <c r="E58" s="312" t="s">
        <v>28</v>
      </c>
      <c r="G58" s="26">
        <v>84148</v>
      </c>
      <c r="H58" s="26">
        <v>107283</v>
      </c>
      <c r="I58" s="26">
        <v>167459</v>
      </c>
      <c r="J58" s="26">
        <v>106404</v>
      </c>
      <c r="K58" s="26">
        <v>150000</v>
      </c>
      <c r="L58" s="26">
        <v>82189</v>
      </c>
      <c r="M58" s="26">
        <v>140000</v>
      </c>
      <c r="N58" s="26">
        <v>150000</v>
      </c>
      <c r="O58" s="285"/>
      <c r="P58" s="202">
        <v>45</v>
      </c>
      <c r="Q58" s="210">
        <v>10</v>
      </c>
      <c r="R58" s="205" t="s">
        <v>35</v>
      </c>
      <c r="S58" s="206" t="s">
        <v>36</v>
      </c>
      <c r="T58" s="211">
        <v>0</v>
      </c>
      <c r="U58" s="211">
        <v>0</v>
      </c>
      <c r="V58" s="213">
        <v>0</v>
      </c>
      <c r="W58" s="213">
        <v>0</v>
      </c>
    </row>
    <row r="59" spans="3:23" ht="15" customHeight="1">
      <c r="C59" s="3">
        <v>10</v>
      </c>
      <c r="D59" s="14" t="s">
        <v>2549</v>
      </c>
      <c r="E59" s="312" t="s">
        <v>2537</v>
      </c>
      <c r="G59" s="26">
        <v>0</v>
      </c>
      <c r="H59" s="26">
        <v>0</v>
      </c>
      <c r="I59" s="26">
        <v>0</v>
      </c>
      <c r="J59" s="26">
        <v>441</v>
      </c>
      <c r="K59" s="26">
        <v>0</v>
      </c>
      <c r="L59" s="26">
        <v>603</v>
      </c>
      <c r="M59" s="26">
        <v>603</v>
      </c>
      <c r="N59" s="26">
        <v>0</v>
      </c>
      <c r="O59" s="285"/>
      <c r="P59" s="202">
        <v>46</v>
      </c>
      <c r="Q59" s="210">
        <v>10</v>
      </c>
      <c r="R59" s="205" t="s">
        <v>37</v>
      </c>
      <c r="S59" s="206" t="s">
        <v>38</v>
      </c>
      <c r="T59" s="211">
        <v>3000</v>
      </c>
      <c r="U59" s="211">
        <v>331.78</v>
      </c>
      <c r="V59" s="213">
        <v>2851.95</v>
      </c>
      <c r="W59" s="213">
        <v>95.07</v>
      </c>
    </row>
    <row r="60" spans="3:23" ht="15" customHeight="1">
      <c r="C60" s="3">
        <v>10</v>
      </c>
      <c r="D60" s="15" t="s">
        <v>29</v>
      </c>
      <c r="E60" s="312" t="s">
        <v>30</v>
      </c>
      <c r="G60" s="26">
        <v>0</v>
      </c>
      <c r="H60" s="26">
        <v>0</v>
      </c>
      <c r="I60" s="26">
        <v>0</v>
      </c>
      <c r="J60" s="26">
        <v>3184</v>
      </c>
      <c r="K60" s="26">
        <v>0</v>
      </c>
      <c r="L60" s="26">
        <v>7550</v>
      </c>
      <c r="M60" s="26">
        <v>7550</v>
      </c>
      <c r="N60" s="26">
        <v>7550</v>
      </c>
      <c r="O60" s="285" t="s">
        <v>2923</v>
      </c>
      <c r="P60" s="202">
        <v>47</v>
      </c>
      <c r="Q60" s="210">
        <v>10</v>
      </c>
      <c r="R60" s="205" t="s">
        <v>2550</v>
      </c>
      <c r="S60" s="206" t="s">
        <v>2538</v>
      </c>
      <c r="T60" s="211">
        <v>0</v>
      </c>
      <c r="U60" s="211">
        <v>1634.11</v>
      </c>
      <c r="V60" s="213">
        <v>10950.98</v>
      </c>
      <c r="W60" s="213">
        <v>0</v>
      </c>
    </row>
    <row r="61" spans="3:23" ht="15" customHeight="1">
      <c r="C61" s="3">
        <v>10</v>
      </c>
      <c r="D61" s="15" t="s">
        <v>31</v>
      </c>
      <c r="E61" s="312" t="s">
        <v>32</v>
      </c>
      <c r="G61" s="26">
        <v>0</v>
      </c>
      <c r="H61" s="26">
        <v>0</v>
      </c>
      <c r="I61" s="26">
        <v>0</v>
      </c>
      <c r="J61" s="26">
        <v>2229</v>
      </c>
      <c r="K61" s="26">
        <v>0</v>
      </c>
      <c r="L61" s="26">
        <v>1029</v>
      </c>
      <c r="M61" s="26">
        <v>1029</v>
      </c>
      <c r="N61" s="26">
        <v>1200</v>
      </c>
      <c r="O61" s="285"/>
      <c r="P61" s="202">
        <v>48</v>
      </c>
      <c r="Q61" s="210">
        <v>10</v>
      </c>
      <c r="R61" s="205" t="s">
        <v>39</v>
      </c>
      <c r="S61" s="206" t="s">
        <v>40</v>
      </c>
      <c r="T61" s="211">
        <v>4500</v>
      </c>
      <c r="U61" s="211">
        <v>442.43</v>
      </c>
      <c r="V61" s="213">
        <v>3802.07</v>
      </c>
      <c r="W61" s="213">
        <v>84.49</v>
      </c>
    </row>
    <row r="62" spans="3:23" ht="15" customHeight="1">
      <c r="C62" s="3">
        <v>10</v>
      </c>
      <c r="D62" s="15" t="s">
        <v>33</v>
      </c>
      <c r="E62" s="312" t="s">
        <v>34</v>
      </c>
      <c r="G62" s="26">
        <v>0</v>
      </c>
      <c r="H62" s="26">
        <v>0</v>
      </c>
      <c r="I62" s="26">
        <v>0</v>
      </c>
      <c r="J62" s="26">
        <v>1248</v>
      </c>
      <c r="K62" s="26">
        <v>0</v>
      </c>
      <c r="L62" s="26">
        <v>1013</v>
      </c>
      <c r="M62" s="26">
        <v>1013</v>
      </c>
      <c r="N62" s="26">
        <v>1200</v>
      </c>
      <c r="O62" s="285"/>
      <c r="P62" s="202">
        <v>49</v>
      </c>
      <c r="Q62" s="210">
        <v>10</v>
      </c>
      <c r="R62" s="205">
        <v>4170</v>
      </c>
      <c r="S62" s="206" t="s">
        <v>41</v>
      </c>
      <c r="T62" s="211">
        <v>113904</v>
      </c>
      <c r="U62" s="211">
        <v>6531.75</v>
      </c>
      <c r="V62" s="213">
        <v>82134.740000000005</v>
      </c>
      <c r="W62" s="213">
        <v>72.11</v>
      </c>
    </row>
    <row r="63" spans="3:23" ht="15" customHeight="1">
      <c r="C63" s="3">
        <v>10</v>
      </c>
      <c r="D63" s="15" t="s">
        <v>35</v>
      </c>
      <c r="E63" s="312" t="s">
        <v>36</v>
      </c>
      <c r="G63" s="26">
        <v>0</v>
      </c>
      <c r="H63" s="26">
        <v>0</v>
      </c>
      <c r="I63" s="26">
        <v>-67246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85" t="s">
        <v>3026</v>
      </c>
      <c r="P63" s="202">
        <v>50</v>
      </c>
      <c r="Q63" s="210">
        <v>10</v>
      </c>
      <c r="R63" s="205">
        <v>4190</v>
      </c>
      <c r="S63" s="206" t="s">
        <v>42</v>
      </c>
      <c r="T63" s="211">
        <v>582000</v>
      </c>
      <c r="U63" s="211">
        <v>53026.64</v>
      </c>
      <c r="V63" s="213">
        <v>323062.44</v>
      </c>
      <c r="W63" s="213">
        <v>55.51</v>
      </c>
    </row>
    <row r="64" spans="3:23" ht="15" customHeight="1">
      <c r="C64" s="3">
        <v>10</v>
      </c>
      <c r="D64" s="15" t="s">
        <v>37</v>
      </c>
      <c r="E64" s="312" t="s">
        <v>38</v>
      </c>
      <c r="G64" s="26">
        <v>2067</v>
      </c>
      <c r="H64" s="26">
        <v>3501</v>
      </c>
      <c r="I64" s="26">
        <v>1217</v>
      </c>
      <c r="J64" s="26">
        <v>3270</v>
      </c>
      <c r="K64" s="26">
        <v>3000</v>
      </c>
      <c r="L64" s="26">
        <v>2520</v>
      </c>
      <c r="M64" s="26">
        <v>3000</v>
      </c>
      <c r="N64" s="26">
        <v>3000</v>
      </c>
      <c r="O64" s="285"/>
      <c r="P64" s="202">
        <v>51</v>
      </c>
      <c r="Q64" s="210">
        <v>10</v>
      </c>
      <c r="R64" s="205" t="s">
        <v>43</v>
      </c>
      <c r="S64" s="206" t="s">
        <v>44</v>
      </c>
      <c r="T64" s="211">
        <v>0</v>
      </c>
      <c r="U64" s="211">
        <v>-568.63</v>
      </c>
      <c r="V64" s="213">
        <v>-1716.51</v>
      </c>
      <c r="W64" s="213">
        <v>0</v>
      </c>
    </row>
    <row r="65" spans="3:23" ht="15" customHeight="1">
      <c r="C65" s="3">
        <v>10</v>
      </c>
      <c r="D65" s="14" t="s">
        <v>2550</v>
      </c>
      <c r="E65" s="312" t="s">
        <v>2538</v>
      </c>
      <c r="F65" s="14"/>
      <c r="G65" s="26">
        <v>0</v>
      </c>
      <c r="H65" s="26">
        <v>0</v>
      </c>
      <c r="I65" s="26">
        <v>0</v>
      </c>
      <c r="J65" s="26">
        <v>3398</v>
      </c>
      <c r="K65" s="26">
        <v>0</v>
      </c>
      <c r="L65" s="26">
        <v>9317</v>
      </c>
      <c r="M65" s="26">
        <v>9317</v>
      </c>
      <c r="N65" s="26">
        <v>12000</v>
      </c>
      <c r="O65" s="285"/>
      <c r="P65" s="202">
        <v>52</v>
      </c>
      <c r="Q65" s="210">
        <v>10</v>
      </c>
      <c r="R65" s="205">
        <v>4210</v>
      </c>
      <c r="S65" s="206" t="s">
        <v>45</v>
      </c>
      <c r="T65" s="211">
        <v>12000</v>
      </c>
      <c r="U65" s="211">
        <v>1587.62</v>
      </c>
      <c r="V65" s="213">
        <v>5900.32</v>
      </c>
      <c r="W65" s="213">
        <v>49.17</v>
      </c>
    </row>
    <row r="66" spans="3:23" ht="15" customHeight="1">
      <c r="C66" s="3">
        <v>10</v>
      </c>
      <c r="D66" s="15" t="s">
        <v>39</v>
      </c>
      <c r="E66" s="312" t="s">
        <v>40</v>
      </c>
      <c r="G66" s="26">
        <v>2468</v>
      </c>
      <c r="H66" s="26">
        <v>4710</v>
      </c>
      <c r="I66" s="26">
        <v>6259</v>
      </c>
      <c r="J66" s="26">
        <v>4383</v>
      </c>
      <c r="K66" s="26">
        <v>4500</v>
      </c>
      <c r="L66" s="26">
        <v>3360</v>
      </c>
      <c r="M66" s="26">
        <v>4500</v>
      </c>
      <c r="N66" s="26">
        <v>4500</v>
      </c>
      <c r="O66" s="285"/>
      <c r="P66" s="202">
        <v>53</v>
      </c>
      <c r="Q66" s="210">
        <v>10</v>
      </c>
      <c r="R66" s="205" t="s">
        <v>46</v>
      </c>
      <c r="S66" s="206" t="s">
        <v>47</v>
      </c>
      <c r="T66" s="211">
        <v>0</v>
      </c>
      <c r="U66" s="211">
        <v>0</v>
      </c>
      <c r="V66" s="213">
        <v>430</v>
      </c>
      <c r="W66" s="213">
        <v>0</v>
      </c>
    </row>
    <row r="67" spans="3:23" ht="15" customHeight="1">
      <c r="C67" s="3">
        <v>10</v>
      </c>
      <c r="D67" s="15">
        <v>4170</v>
      </c>
      <c r="E67" s="312" t="s">
        <v>41</v>
      </c>
      <c r="G67" s="26">
        <v>83154</v>
      </c>
      <c r="H67" s="26">
        <v>81066</v>
      </c>
      <c r="I67" s="26">
        <v>77958</v>
      </c>
      <c r="J67" s="26">
        <v>83477</v>
      </c>
      <c r="K67" s="26">
        <v>113904</v>
      </c>
      <c r="L67" s="26">
        <v>75603</v>
      </c>
      <c r="M67" s="26">
        <f>82134+2600+14672+2000+2025</f>
        <v>103431</v>
      </c>
      <c r="N67" s="26">
        <f>(3668*12*2)+(2025*4)+(500*12)</f>
        <v>102132</v>
      </c>
      <c r="O67" s="285"/>
      <c r="P67" s="202">
        <v>54</v>
      </c>
      <c r="Q67" s="210">
        <v>10</v>
      </c>
      <c r="R67" s="205">
        <v>4220</v>
      </c>
      <c r="S67" s="206" t="s">
        <v>2539</v>
      </c>
      <c r="T67" s="211">
        <v>0</v>
      </c>
      <c r="U67" s="211">
        <v>330</v>
      </c>
      <c r="V67" s="213">
        <v>1920</v>
      </c>
      <c r="W67" s="213">
        <v>0</v>
      </c>
    </row>
    <row r="68" spans="3:23" ht="15" customHeight="1">
      <c r="C68" s="3">
        <v>10</v>
      </c>
      <c r="D68" s="15">
        <v>4190</v>
      </c>
      <c r="E68" s="312" t="s">
        <v>42</v>
      </c>
      <c r="G68" s="26">
        <v>397067</v>
      </c>
      <c r="H68" s="26">
        <v>480475</v>
      </c>
      <c r="I68" s="26">
        <v>536547</v>
      </c>
      <c r="J68" s="26">
        <v>428844</v>
      </c>
      <c r="K68" s="26">
        <v>582000</v>
      </c>
      <c r="L68" s="26">
        <v>270036</v>
      </c>
      <c r="M68" s="26">
        <v>558000</v>
      </c>
      <c r="N68" s="26">
        <f>580000+2800</f>
        <v>582800</v>
      </c>
      <c r="O68" s="285"/>
      <c r="P68" s="202">
        <v>55</v>
      </c>
      <c r="Q68" s="210">
        <v>10</v>
      </c>
      <c r="R68" s="205" t="s">
        <v>2551</v>
      </c>
      <c r="S68" s="206" t="s">
        <v>2540</v>
      </c>
      <c r="T68" s="211">
        <v>0</v>
      </c>
      <c r="U68" s="211">
        <v>-325.92</v>
      </c>
      <c r="V68" s="213">
        <v>-1874.04</v>
      </c>
      <c r="W68" s="213">
        <v>0</v>
      </c>
    </row>
    <row r="69" spans="3:23" ht="15" customHeight="1">
      <c r="C69" s="3">
        <v>10</v>
      </c>
      <c r="D69" s="15" t="s">
        <v>43</v>
      </c>
      <c r="E69" s="312" t="s">
        <v>44</v>
      </c>
      <c r="G69" s="26">
        <v>-853</v>
      </c>
      <c r="H69" s="26">
        <v>-994</v>
      </c>
      <c r="I69" s="26">
        <v>-1728</v>
      </c>
      <c r="J69" s="26">
        <v>-3061</v>
      </c>
      <c r="K69" s="26">
        <v>0</v>
      </c>
      <c r="L69" s="26">
        <v>-1148</v>
      </c>
      <c r="M69" s="26">
        <v>-1148</v>
      </c>
      <c r="N69" s="26">
        <v>0</v>
      </c>
      <c r="O69" s="285"/>
      <c r="P69" s="202">
        <v>56</v>
      </c>
      <c r="Q69" s="210">
        <v>10</v>
      </c>
      <c r="R69" s="205">
        <v>4230</v>
      </c>
      <c r="S69" s="206" t="s">
        <v>48</v>
      </c>
      <c r="T69" s="211">
        <v>3000</v>
      </c>
      <c r="U69" s="211">
        <v>0</v>
      </c>
      <c r="V69" s="213">
        <v>0</v>
      </c>
      <c r="W69" s="213">
        <v>0</v>
      </c>
    </row>
    <row r="70" spans="3:23" ht="15" customHeight="1">
      <c r="C70" s="3">
        <v>10</v>
      </c>
      <c r="D70" s="15">
        <v>4210</v>
      </c>
      <c r="E70" s="312" t="s">
        <v>45</v>
      </c>
      <c r="G70" s="26">
        <v>9819</v>
      </c>
      <c r="H70" s="26">
        <v>10225</v>
      </c>
      <c r="I70" s="26">
        <v>9560</v>
      </c>
      <c r="J70" s="26">
        <v>9330</v>
      </c>
      <c r="K70" s="26">
        <v>12000</v>
      </c>
      <c r="L70" s="26">
        <v>4313</v>
      </c>
      <c r="M70" s="26">
        <v>11000</v>
      </c>
      <c r="N70" s="26">
        <v>8000</v>
      </c>
      <c r="O70" s="285"/>
      <c r="P70" s="202">
        <v>57</v>
      </c>
      <c r="Q70" s="210">
        <v>10</v>
      </c>
      <c r="R70" s="205">
        <v>4250</v>
      </c>
      <c r="S70" s="206" t="s">
        <v>49</v>
      </c>
      <c r="T70" s="211">
        <v>10000</v>
      </c>
      <c r="U70" s="211">
        <v>1385.5</v>
      </c>
      <c r="V70" s="213">
        <v>12547.45</v>
      </c>
      <c r="W70" s="213">
        <v>125.47</v>
      </c>
    </row>
    <row r="71" spans="3:23" ht="15" customHeight="1">
      <c r="C71" s="3">
        <v>10</v>
      </c>
      <c r="D71" s="15" t="s">
        <v>46</v>
      </c>
      <c r="E71" s="312" t="s">
        <v>47</v>
      </c>
      <c r="G71" s="26">
        <v>-400</v>
      </c>
      <c r="H71" s="26">
        <v>350</v>
      </c>
      <c r="I71" s="26">
        <v>-75</v>
      </c>
      <c r="J71" s="26">
        <v>-450</v>
      </c>
      <c r="K71" s="26">
        <v>0</v>
      </c>
      <c r="L71" s="26">
        <v>430</v>
      </c>
      <c r="M71" s="26">
        <v>430</v>
      </c>
      <c r="N71" s="26">
        <v>0</v>
      </c>
      <c r="O71" s="285"/>
      <c r="P71" s="202">
        <v>58</v>
      </c>
      <c r="Q71" s="210">
        <v>10</v>
      </c>
      <c r="R71" s="205">
        <v>4270</v>
      </c>
      <c r="S71" s="206" t="s">
        <v>50</v>
      </c>
      <c r="T71" s="211">
        <v>300</v>
      </c>
      <c r="U71" s="211">
        <v>18.75</v>
      </c>
      <c r="V71" s="213">
        <v>102.75</v>
      </c>
      <c r="W71" s="213">
        <v>34.25</v>
      </c>
    </row>
    <row r="72" spans="3:23" ht="15" customHeight="1">
      <c r="C72" s="3">
        <v>10</v>
      </c>
      <c r="D72" s="15">
        <v>4220</v>
      </c>
      <c r="E72" s="312" t="s">
        <v>2539</v>
      </c>
      <c r="F72" s="14"/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1590</v>
      </c>
      <c r="M72" s="26">
        <v>1590</v>
      </c>
      <c r="N72" s="26">
        <v>0</v>
      </c>
      <c r="O72" s="285" t="s">
        <v>2921</v>
      </c>
      <c r="P72" s="202">
        <v>59</v>
      </c>
      <c r="Q72" s="210">
        <v>10</v>
      </c>
      <c r="R72" s="205">
        <v>4290</v>
      </c>
      <c r="S72" s="206" t="s">
        <v>51</v>
      </c>
      <c r="T72" s="211">
        <v>0</v>
      </c>
      <c r="U72" s="211">
        <v>0</v>
      </c>
      <c r="V72" s="213">
        <v>0</v>
      </c>
      <c r="W72" s="213">
        <v>0</v>
      </c>
    </row>
    <row r="73" spans="3:23" ht="15" customHeight="1">
      <c r="C73" s="3">
        <v>10</v>
      </c>
      <c r="D73" s="14" t="s">
        <v>2551</v>
      </c>
      <c r="E73" s="312" t="s">
        <v>2540</v>
      </c>
      <c r="G73" s="26">
        <v>0</v>
      </c>
      <c r="H73" s="26">
        <v>0</v>
      </c>
      <c r="I73" s="26">
        <v>0</v>
      </c>
      <c r="J73" s="26">
        <v>-12</v>
      </c>
      <c r="K73" s="26">
        <v>0</v>
      </c>
      <c r="L73" s="26">
        <v>-1548</v>
      </c>
      <c r="M73" s="26">
        <v>-1548</v>
      </c>
      <c r="N73" s="26">
        <v>0</v>
      </c>
      <c r="O73" s="285"/>
      <c r="P73" s="202">
        <v>60</v>
      </c>
      <c r="Q73" s="210">
        <v>10</v>
      </c>
      <c r="R73" s="205" t="s">
        <v>52</v>
      </c>
      <c r="S73" s="206" t="s">
        <v>53</v>
      </c>
      <c r="T73" s="211">
        <v>8000</v>
      </c>
      <c r="U73" s="211">
        <v>939.5</v>
      </c>
      <c r="V73" s="213">
        <v>10004.5</v>
      </c>
      <c r="W73" s="213">
        <v>125.06</v>
      </c>
    </row>
    <row r="74" spans="3:23" ht="15" customHeight="1">
      <c r="C74" s="3">
        <v>10</v>
      </c>
      <c r="D74" s="15">
        <v>4230</v>
      </c>
      <c r="E74" s="312" t="s">
        <v>48</v>
      </c>
      <c r="G74" s="26">
        <v>4189</v>
      </c>
      <c r="H74" s="26">
        <v>3493</v>
      </c>
      <c r="I74" s="26">
        <v>3864</v>
      </c>
      <c r="J74" s="26">
        <v>3469</v>
      </c>
      <c r="K74" s="26">
        <v>3000</v>
      </c>
      <c r="L74" s="26">
        <v>0</v>
      </c>
      <c r="M74" s="26">
        <v>3000</v>
      </c>
      <c r="N74" s="26">
        <v>3400</v>
      </c>
      <c r="O74" s="285" t="s">
        <v>2594</v>
      </c>
      <c r="P74" s="202">
        <v>61</v>
      </c>
      <c r="Q74" s="210">
        <v>10</v>
      </c>
      <c r="R74" s="205" t="s">
        <v>54</v>
      </c>
      <c r="S74" s="206" t="s">
        <v>55</v>
      </c>
      <c r="T74" s="211">
        <v>59500</v>
      </c>
      <c r="U74" s="211">
        <v>4450</v>
      </c>
      <c r="V74" s="213">
        <v>28390</v>
      </c>
      <c r="W74" s="213">
        <v>47.71</v>
      </c>
    </row>
    <row r="75" spans="3:23" ht="15" customHeight="1">
      <c r="C75" s="3">
        <v>10</v>
      </c>
      <c r="D75" s="15">
        <v>4250</v>
      </c>
      <c r="E75" s="312" t="s">
        <v>49</v>
      </c>
      <c r="G75" s="26">
        <v>12425</v>
      </c>
      <c r="H75" s="26">
        <v>10354</v>
      </c>
      <c r="I75" s="26">
        <v>12199</v>
      </c>
      <c r="J75" s="26">
        <v>10046</v>
      </c>
      <c r="K75" s="26">
        <v>10000</v>
      </c>
      <c r="L75" s="26">
        <v>11162</v>
      </c>
      <c r="M75" s="26">
        <v>14000</v>
      </c>
      <c r="N75" s="26">
        <v>11000</v>
      </c>
      <c r="O75" s="285"/>
      <c r="P75" s="202">
        <v>62</v>
      </c>
      <c r="Q75" s="210">
        <v>10</v>
      </c>
      <c r="R75" s="205" t="s">
        <v>56</v>
      </c>
      <c r="S75" s="206" t="s">
        <v>57</v>
      </c>
      <c r="T75" s="211">
        <v>2500</v>
      </c>
      <c r="U75" s="211">
        <v>240</v>
      </c>
      <c r="V75" s="213">
        <v>1440</v>
      </c>
      <c r="W75" s="213">
        <v>57.6</v>
      </c>
    </row>
    <row r="76" spans="3:23" ht="15" customHeight="1">
      <c r="C76" s="3">
        <v>10</v>
      </c>
      <c r="D76" s="15">
        <v>4270</v>
      </c>
      <c r="E76" s="312" t="s">
        <v>50</v>
      </c>
      <c r="G76" s="26">
        <v>227</v>
      </c>
      <c r="H76" s="26">
        <v>289</v>
      </c>
      <c r="I76" s="26">
        <v>97</v>
      </c>
      <c r="J76" s="26">
        <v>175</v>
      </c>
      <c r="K76" s="26">
        <v>300</v>
      </c>
      <c r="L76" s="26">
        <v>84</v>
      </c>
      <c r="M76" s="26">
        <v>100</v>
      </c>
      <c r="N76" s="26">
        <v>300</v>
      </c>
      <c r="O76" s="285"/>
      <c r="P76" s="202">
        <v>63</v>
      </c>
      <c r="Q76" s="210">
        <v>10</v>
      </c>
      <c r="R76" s="205">
        <v>4310</v>
      </c>
      <c r="S76" s="206" t="s">
        <v>2541</v>
      </c>
      <c r="T76" s="211">
        <v>108941</v>
      </c>
      <c r="U76" s="211">
        <v>0</v>
      </c>
      <c r="V76" s="213">
        <v>0</v>
      </c>
      <c r="W76" s="213">
        <v>0</v>
      </c>
    </row>
    <row r="77" spans="3:23" ht="15" customHeight="1">
      <c r="C77" s="3">
        <v>10</v>
      </c>
      <c r="D77" s="15">
        <v>4290</v>
      </c>
      <c r="E77" s="312" t="s">
        <v>51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85"/>
      <c r="P77" s="202">
        <v>64</v>
      </c>
      <c r="Q77" s="210">
        <v>10</v>
      </c>
      <c r="R77" s="205">
        <v>4310.1000000000004</v>
      </c>
      <c r="S77" s="206" t="s">
        <v>2542</v>
      </c>
      <c r="T77" s="211">
        <v>0</v>
      </c>
      <c r="U77" s="211">
        <v>537.5</v>
      </c>
      <c r="V77" s="213">
        <v>600</v>
      </c>
      <c r="W77" s="213">
        <v>0</v>
      </c>
    </row>
    <row r="78" spans="3:23" ht="15" customHeight="1">
      <c r="C78" s="3">
        <v>10</v>
      </c>
      <c r="D78" s="15" t="s">
        <v>52</v>
      </c>
      <c r="E78" s="312" t="s">
        <v>53</v>
      </c>
      <c r="G78" s="26">
        <v>5040</v>
      </c>
      <c r="H78" s="26">
        <v>15368</v>
      </c>
      <c r="I78" s="26">
        <v>11273</v>
      </c>
      <c r="J78" s="26">
        <v>5715</v>
      </c>
      <c r="K78" s="26">
        <v>8000</v>
      </c>
      <c r="L78" s="26">
        <v>9065</v>
      </c>
      <c r="M78" s="26">
        <v>10000</v>
      </c>
      <c r="N78" s="26">
        <v>10000</v>
      </c>
      <c r="O78" s="285"/>
      <c r="P78" s="202">
        <v>65</v>
      </c>
      <c r="Q78" s="210">
        <v>10</v>
      </c>
      <c r="R78" s="205">
        <v>4310.2</v>
      </c>
      <c r="S78" s="206" t="s">
        <v>2543</v>
      </c>
      <c r="T78" s="211">
        <v>0</v>
      </c>
      <c r="U78" s="211">
        <v>0</v>
      </c>
      <c r="V78" s="213">
        <v>0</v>
      </c>
      <c r="W78" s="213">
        <v>0</v>
      </c>
    </row>
    <row r="79" spans="3:23" ht="15" customHeight="1">
      <c r="C79" s="3">
        <v>10</v>
      </c>
      <c r="D79" s="15" t="s">
        <v>54</v>
      </c>
      <c r="E79" s="312" t="s">
        <v>55</v>
      </c>
      <c r="G79" s="26">
        <v>62135</v>
      </c>
      <c r="H79" s="26">
        <v>57150</v>
      </c>
      <c r="I79" s="26">
        <v>58095</v>
      </c>
      <c r="J79" s="26">
        <v>57770</v>
      </c>
      <c r="K79" s="26">
        <v>59500</v>
      </c>
      <c r="L79" s="26">
        <v>23940</v>
      </c>
      <c r="M79" s="26">
        <v>57000</v>
      </c>
      <c r="N79" s="26">
        <v>58000</v>
      </c>
      <c r="O79" s="285"/>
      <c r="P79" s="202">
        <v>66</v>
      </c>
      <c r="Q79" s="210">
        <v>10</v>
      </c>
      <c r="R79" s="205">
        <v>4310.3</v>
      </c>
      <c r="S79" s="206" t="s">
        <v>2544</v>
      </c>
      <c r="T79" s="211">
        <v>0</v>
      </c>
      <c r="U79" s="211">
        <v>2100</v>
      </c>
      <c r="V79" s="213">
        <v>3000</v>
      </c>
      <c r="W79" s="213">
        <v>0</v>
      </c>
    </row>
    <row r="80" spans="3:23" ht="15" customHeight="1">
      <c r="C80" s="3">
        <v>10</v>
      </c>
      <c r="D80" s="15" t="s">
        <v>56</v>
      </c>
      <c r="E80" s="312" t="s">
        <v>57</v>
      </c>
      <c r="G80" s="26">
        <v>2400</v>
      </c>
      <c r="H80" s="26">
        <v>3600</v>
      </c>
      <c r="I80" s="26">
        <v>2880</v>
      </c>
      <c r="J80" s="26">
        <v>2400</v>
      </c>
      <c r="K80" s="26">
        <v>2500</v>
      </c>
      <c r="L80" s="26">
        <v>1200</v>
      </c>
      <c r="M80" s="26">
        <v>2000</v>
      </c>
      <c r="N80" s="26">
        <v>2000</v>
      </c>
      <c r="O80" s="285"/>
      <c r="P80" s="202">
        <v>67</v>
      </c>
      <c r="Q80" s="210">
        <v>10</v>
      </c>
      <c r="R80" s="205">
        <v>4310.3999999999996</v>
      </c>
      <c r="S80" s="206" t="s">
        <v>2545</v>
      </c>
      <c r="T80" s="211">
        <v>0</v>
      </c>
      <c r="U80" s="211">
        <v>0</v>
      </c>
      <c r="V80" s="213">
        <v>0</v>
      </c>
      <c r="W80" s="213">
        <v>0</v>
      </c>
    </row>
    <row r="81" spans="3:23" ht="15" customHeight="1">
      <c r="C81" s="3">
        <v>10</v>
      </c>
      <c r="D81" s="15">
        <v>4310</v>
      </c>
      <c r="E81" s="312" t="s">
        <v>2541</v>
      </c>
      <c r="G81" s="26">
        <v>0</v>
      </c>
      <c r="H81" s="26">
        <v>4</v>
      </c>
      <c r="I81" s="26">
        <v>0</v>
      </c>
      <c r="J81" s="26">
        <v>0</v>
      </c>
      <c r="K81" s="26">
        <v>108941</v>
      </c>
      <c r="L81" s="26">
        <v>0</v>
      </c>
      <c r="M81" s="26"/>
      <c r="N81" s="26"/>
      <c r="O81" s="285"/>
      <c r="P81" s="202">
        <v>68</v>
      </c>
      <c r="Q81" s="210">
        <v>10</v>
      </c>
      <c r="R81" s="205" t="s">
        <v>2552</v>
      </c>
      <c r="S81" s="206" t="s">
        <v>2546</v>
      </c>
      <c r="T81" s="211">
        <v>0</v>
      </c>
      <c r="U81" s="211">
        <v>0</v>
      </c>
      <c r="V81" s="213">
        <v>0</v>
      </c>
      <c r="W81" s="213">
        <v>0</v>
      </c>
    </row>
    <row r="82" spans="3:23" ht="15" customHeight="1">
      <c r="C82" s="3">
        <v>10</v>
      </c>
      <c r="D82" s="314">
        <v>4310.1000000000004</v>
      </c>
      <c r="E82" s="312" t="s">
        <v>2542</v>
      </c>
      <c r="F82" s="14"/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63</v>
      </c>
      <c r="M82" s="26">
        <v>3600</v>
      </c>
      <c r="N82" s="26">
        <f>3600*0.92</f>
        <v>3312</v>
      </c>
      <c r="O82" s="285" t="s">
        <v>3034</v>
      </c>
      <c r="P82" s="202">
        <v>69</v>
      </c>
      <c r="Q82" s="210">
        <v>10</v>
      </c>
      <c r="R82" s="205">
        <v>4330</v>
      </c>
      <c r="S82" s="206" t="s">
        <v>58</v>
      </c>
      <c r="T82" s="211">
        <v>9000</v>
      </c>
      <c r="U82" s="211">
        <v>143.97</v>
      </c>
      <c r="V82" s="213">
        <v>2039.74</v>
      </c>
      <c r="W82" s="213">
        <v>22.66</v>
      </c>
    </row>
    <row r="83" spans="3:23" ht="15" customHeight="1">
      <c r="C83" s="3">
        <v>10</v>
      </c>
      <c r="D83" s="314">
        <v>4310.2</v>
      </c>
      <c r="E83" s="312" t="s">
        <v>2543</v>
      </c>
      <c r="G83" s="26">
        <v>0</v>
      </c>
      <c r="H83" s="26">
        <v>0</v>
      </c>
      <c r="I83" s="26">
        <v>0</v>
      </c>
      <c r="J83" s="26">
        <v>0</v>
      </c>
      <c r="K83" s="26">
        <v>0</v>
      </c>
      <c r="L83" s="26">
        <v>0</v>
      </c>
      <c r="M83" s="26">
        <v>78000</v>
      </c>
      <c r="N83" s="26">
        <f>75000*0.92</f>
        <v>69000</v>
      </c>
      <c r="O83" s="285" t="s">
        <v>3033</v>
      </c>
      <c r="P83" s="202">
        <v>70</v>
      </c>
      <c r="Q83" s="210">
        <v>10</v>
      </c>
      <c r="R83" s="205">
        <v>4370</v>
      </c>
      <c r="S83" s="206" t="s">
        <v>59</v>
      </c>
      <c r="T83" s="211">
        <v>1000</v>
      </c>
      <c r="U83" s="211">
        <v>0</v>
      </c>
      <c r="V83" s="213">
        <v>2851.15</v>
      </c>
      <c r="W83" s="213">
        <v>285.12</v>
      </c>
    </row>
    <row r="84" spans="3:23" ht="15" customHeight="1">
      <c r="C84" s="3">
        <v>10</v>
      </c>
      <c r="D84" s="314">
        <v>4310.3</v>
      </c>
      <c r="E84" s="312" t="s">
        <v>2544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900</v>
      </c>
      <c r="M84" s="26">
        <v>6000</v>
      </c>
      <c r="N84" s="26">
        <f>12000*0.92</f>
        <v>11040</v>
      </c>
      <c r="O84" s="285" t="s">
        <v>3033</v>
      </c>
      <c r="P84" s="202">
        <v>71</v>
      </c>
      <c r="Q84" s="210">
        <v>10</v>
      </c>
      <c r="R84" s="205">
        <v>4371.1009999999997</v>
      </c>
      <c r="S84" s="206" t="s">
        <v>60</v>
      </c>
      <c r="T84" s="211">
        <v>675881</v>
      </c>
      <c r="U84" s="211">
        <v>56323.42</v>
      </c>
      <c r="V84" s="213">
        <v>450587.36</v>
      </c>
      <c r="W84" s="213">
        <v>66.67</v>
      </c>
    </row>
    <row r="85" spans="3:23" ht="15" customHeight="1">
      <c r="C85" s="3">
        <v>10</v>
      </c>
      <c r="D85" s="314">
        <v>4310.3999999999996</v>
      </c>
      <c r="E85" s="312" t="s">
        <v>2545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31000</v>
      </c>
      <c r="N85" s="26">
        <f>30000*0.92</f>
        <v>27600</v>
      </c>
      <c r="O85" s="285" t="s">
        <v>3035</v>
      </c>
      <c r="P85" s="202">
        <v>72</v>
      </c>
      <c r="Q85" s="210">
        <v>10</v>
      </c>
      <c r="R85" s="205">
        <v>4371.1030000000001</v>
      </c>
      <c r="S85" s="206" t="s">
        <v>61</v>
      </c>
      <c r="T85" s="211">
        <v>63032</v>
      </c>
      <c r="U85" s="211">
        <v>5252.67</v>
      </c>
      <c r="V85" s="213">
        <v>42021.36</v>
      </c>
      <c r="W85" s="213">
        <v>66.67</v>
      </c>
    </row>
    <row r="86" spans="3:23" ht="15" customHeight="1">
      <c r="C86" s="3">
        <v>10</v>
      </c>
      <c r="D86" s="14" t="s">
        <v>2552</v>
      </c>
      <c r="E86" s="312" t="s">
        <v>2546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85"/>
      <c r="P86" s="202">
        <v>73</v>
      </c>
      <c r="Q86" s="210">
        <v>10</v>
      </c>
      <c r="R86" s="205">
        <v>4371.1049999999996</v>
      </c>
      <c r="S86" s="206" t="s">
        <v>62</v>
      </c>
      <c r="T86" s="211">
        <v>277405</v>
      </c>
      <c r="U86" s="211">
        <v>23117.08</v>
      </c>
      <c r="V86" s="213">
        <v>184936.64</v>
      </c>
      <c r="W86" s="213">
        <v>66.67</v>
      </c>
    </row>
    <row r="87" spans="3:23" ht="15" customHeight="1">
      <c r="C87" s="3">
        <v>10</v>
      </c>
      <c r="D87" s="15">
        <v>4330</v>
      </c>
      <c r="E87" s="312" t="s">
        <v>58</v>
      </c>
      <c r="G87" s="26">
        <v>30953</v>
      </c>
      <c r="H87" s="26">
        <v>20000</v>
      </c>
      <c r="I87" s="26">
        <v>23961</v>
      </c>
      <c r="J87" s="26">
        <v>6876</v>
      </c>
      <c r="K87" s="26">
        <v>9000</v>
      </c>
      <c r="L87" s="26">
        <v>1896</v>
      </c>
      <c r="M87" s="26">
        <v>3000</v>
      </c>
      <c r="N87" s="26">
        <v>3000</v>
      </c>
      <c r="O87" s="285"/>
      <c r="P87" s="202">
        <v>74</v>
      </c>
      <c r="Q87" s="210">
        <v>10</v>
      </c>
      <c r="R87" s="205">
        <v>4371.107</v>
      </c>
      <c r="S87" s="206" t="s">
        <v>2547</v>
      </c>
      <c r="T87" s="211">
        <v>79948</v>
      </c>
      <c r="U87" s="211">
        <v>6662.33</v>
      </c>
      <c r="V87" s="213">
        <v>53298.64</v>
      </c>
      <c r="W87" s="213">
        <v>66.67</v>
      </c>
    </row>
    <row r="88" spans="3:23" ht="15" customHeight="1">
      <c r="C88" s="3">
        <v>10</v>
      </c>
      <c r="D88" s="15">
        <v>4370</v>
      </c>
      <c r="E88" s="312" t="s">
        <v>59</v>
      </c>
      <c r="G88" s="26">
        <v>5543</v>
      </c>
      <c r="H88" s="26">
        <v>64256</v>
      </c>
      <c r="I88" s="26">
        <v>8293</v>
      </c>
      <c r="J88" s="26">
        <v>13485</v>
      </c>
      <c r="K88" s="26">
        <v>1000</v>
      </c>
      <c r="L88" s="26">
        <v>2851</v>
      </c>
      <c r="M88" s="26">
        <v>3000</v>
      </c>
      <c r="N88" s="26">
        <v>3000</v>
      </c>
      <c r="O88" s="285"/>
      <c r="P88" s="202">
        <v>75</v>
      </c>
      <c r="Q88" s="210">
        <v>10</v>
      </c>
      <c r="R88" s="205">
        <v>4690</v>
      </c>
      <c r="S88" s="206" t="s">
        <v>63</v>
      </c>
      <c r="T88" s="211">
        <v>36000</v>
      </c>
      <c r="U88" s="211">
        <v>0</v>
      </c>
      <c r="V88" s="213">
        <v>0</v>
      </c>
      <c r="W88" s="213">
        <v>0</v>
      </c>
    </row>
    <row r="89" spans="3:23" ht="15" customHeight="1">
      <c r="C89" s="3">
        <v>10</v>
      </c>
      <c r="D89" s="15">
        <v>4371.1009999999997</v>
      </c>
      <c r="E89" s="312" t="s">
        <v>60</v>
      </c>
      <c r="G89" s="26">
        <v>625319</v>
      </c>
      <c r="H89" s="26">
        <v>652906</v>
      </c>
      <c r="I89" s="26">
        <v>652906</v>
      </c>
      <c r="J89" s="26">
        <v>652849</v>
      </c>
      <c r="K89" s="26">
        <v>675881</v>
      </c>
      <c r="L89" s="26">
        <v>394264</v>
      </c>
      <c r="M89" s="26">
        <v>675881</v>
      </c>
      <c r="N89" s="26">
        <v>899571</v>
      </c>
      <c r="O89" s="285" t="s">
        <v>2919</v>
      </c>
      <c r="P89" s="202">
        <v>76</v>
      </c>
      <c r="Q89" s="210">
        <v>10</v>
      </c>
      <c r="R89" s="205">
        <v>4690.3</v>
      </c>
      <c r="S89" s="206" t="s">
        <v>2548</v>
      </c>
      <c r="T89" s="211">
        <v>15500</v>
      </c>
      <c r="U89" s="211">
        <v>0</v>
      </c>
      <c r="V89" s="213">
        <v>0</v>
      </c>
      <c r="W89" s="213">
        <v>0</v>
      </c>
    </row>
    <row r="90" spans="3:23" ht="15" customHeight="1">
      <c r="C90" s="3">
        <v>10</v>
      </c>
      <c r="D90" s="15">
        <v>4371.1030000000001</v>
      </c>
      <c r="E90" s="312" t="s">
        <v>61</v>
      </c>
      <c r="G90" s="26">
        <v>8046</v>
      </c>
      <c r="H90" s="26">
        <v>63029</v>
      </c>
      <c r="I90" s="26">
        <v>63029</v>
      </c>
      <c r="J90" s="26">
        <v>63032</v>
      </c>
      <c r="K90" s="26">
        <v>63032</v>
      </c>
      <c r="L90" s="26">
        <v>36769</v>
      </c>
      <c r="M90" s="26">
        <v>63032</v>
      </c>
      <c r="N90" s="26">
        <v>81933</v>
      </c>
      <c r="O90" s="285" t="s">
        <v>2919</v>
      </c>
      <c r="P90" s="202">
        <v>77</v>
      </c>
      <c r="Q90" s="210">
        <v>10</v>
      </c>
      <c r="R90" s="205" t="s">
        <v>64</v>
      </c>
      <c r="S90" s="206" t="s">
        <v>65</v>
      </c>
      <c r="T90" s="211">
        <v>0</v>
      </c>
      <c r="U90" s="211">
        <v>0</v>
      </c>
      <c r="V90" s="213">
        <v>0</v>
      </c>
      <c r="W90" s="213">
        <v>0</v>
      </c>
    </row>
    <row r="91" spans="3:23" ht="15" customHeight="1">
      <c r="C91" s="3">
        <v>10</v>
      </c>
      <c r="D91" s="15">
        <v>4371.1049999999996</v>
      </c>
      <c r="E91" s="312" t="s">
        <v>62</v>
      </c>
      <c r="G91" s="26">
        <v>29326</v>
      </c>
      <c r="H91" s="26">
        <v>277465</v>
      </c>
      <c r="I91" s="26">
        <v>277465</v>
      </c>
      <c r="J91" s="26">
        <v>277465</v>
      </c>
      <c r="K91" s="26">
        <v>277405</v>
      </c>
      <c r="L91" s="26">
        <v>161820</v>
      </c>
      <c r="M91" s="26">
        <v>277405</v>
      </c>
      <c r="N91" s="26">
        <v>305377</v>
      </c>
      <c r="O91" s="285" t="s">
        <v>2919</v>
      </c>
      <c r="P91" s="202">
        <v>78</v>
      </c>
      <c r="Q91" s="210">
        <v>10</v>
      </c>
      <c r="R91" s="205">
        <v>4890</v>
      </c>
      <c r="S91" s="206" t="s">
        <v>66</v>
      </c>
      <c r="T91" s="211">
        <v>33000</v>
      </c>
      <c r="U91" s="211">
        <v>1267.4000000000001</v>
      </c>
      <c r="V91" s="213">
        <v>20997.35</v>
      </c>
      <c r="W91" s="213">
        <v>63.63</v>
      </c>
    </row>
    <row r="92" spans="3:23" ht="15" customHeight="1">
      <c r="C92" s="3">
        <v>10</v>
      </c>
      <c r="D92" s="15">
        <v>4371.107</v>
      </c>
      <c r="E92" s="312" t="s">
        <v>2547</v>
      </c>
      <c r="G92" s="26">
        <v>1</v>
      </c>
      <c r="H92" s="26">
        <v>79948</v>
      </c>
      <c r="I92" s="26">
        <v>79948</v>
      </c>
      <c r="J92" s="26">
        <v>79948</v>
      </c>
      <c r="K92" s="26">
        <v>79948</v>
      </c>
      <c r="L92" s="26">
        <v>46636</v>
      </c>
      <c r="M92" s="26">
        <v>79948</v>
      </c>
      <c r="N92" s="26">
        <v>139127</v>
      </c>
      <c r="O92" s="285" t="s">
        <v>2919</v>
      </c>
      <c r="P92" s="202">
        <v>79</v>
      </c>
      <c r="Q92" s="210">
        <v>10</v>
      </c>
      <c r="R92" s="205">
        <v>4890.1000000000004</v>
      </c>
      <c r="S92" s="206" t="s">
        <v>67</v>
      </c>
      <c r="T92" s="211">
        <v>2000</v>
      </c>
      <c r="U92" s="211">
        <v>812</v>
      </c>
      <c r="V92" s="213">
        <v>3665.66</v>
      </c>
      <c r="W92" s="213">
        <v>183.28</v>
      </c>
    </row>
    <row r="93" spans="3:23" ht="15" customHeight="1">
      <c r="C93" s="3">
        <v>10</v>
      </c>
      <c r="D93" s="15">
        <v>4690</v>
      </c>
      <c r="E93" s="312" t="s">
        <v>63</v>
      </c>
      <c r="G93" s="26">
        <v>0</v>
      </c>
      <c r="H93" s="26">
        <v>0</v>
      </c>
      <c r="I93" s="26">
        <v>3750</v>
      </c>
      <c r="J93" s="26">
        <v>1500</v>
      </c>
      <c r="K93" s="26">
        <v>36000</v>
      </c>
      <c r="L93" s="26">
        <v>0</v>
      </c>
      <c r="M93" s="26">
        <v>0</v>
      </c>
      <c r="N93" s="26">
        <v>0</v>
      </c>
      <c r="O93" s="285" t="s">
        <v>2924</v>
      </c>
      <c r="P93" s="202">
        <v>80</v>
      </c>
      <c r="Q93" s="210">
        <v>10</v>
      </c>
      <c r="R93" s="205">
        <v>4890.1890000000003</v>
      </c>
      <c r="S93" s="206" t="s">
        <v>1884</v>
      </c>
      <c r="T93" s="211">
        <v>15200</v>
      </c>
      <c r="U93" s="211">
        <v>0</v>
      </c>
      <c r="V93" s="213">
        <v>9291.26</v>
      </c>
      <c r="W93" s="213">
        <v>61.13</v>
      </c>
    </row>
    <row r="94" spans="3:23" ht="15" customHeight="1">
      <c r="C94" s="3">
        <v>10</v>
      </c>
      <c r="D94" s="15">
        <v>4690.3</v>
      </c>
      <c r="E94" s="312" t="s">
        <v>2548</v>
      </c>
      <c r="G94" s="26">
        <v>0</v>
      </c>
      <c r="H94" s="26">
        <v>0</v>
      </c>
      <c r="I94" s="26">
        <v>0</v>
      </c>
      <c r="J94" s="26">
        <v>0</v>
      </c>
      <c r="K94" s="26">
        <v>15500</v>
      </c>
      <c r="L94" s="26">
        <v>0</v>
      </c>
      <c r="M94" s="26">
        <v>15500</v>
      </c>
      <c r="N94" s="26">
        <v>10000</v>
      </c>
      <c r="O94" s="285" t="s">
        <v>2948</v>
      </c>
      <c r="P94" s="202">
        <v>81</v>
      </c>
      <c r="Q94" s="210">
        <v>10</v>
      </c>
      <c r="R94" s="205">
        <v>4890.1989999999996</v>
      </c>
      <c r="S94" s="206" t="s">
        <v>1328</v>
      </c>
      <c r="T94" s="211">
        <v>0</v>
      </c>
      <c r="U94" s="211">
        <v>0</v>
      </c>
      <c r="V94" s="213">
        <v>0</v>
      </c>
      <c r="W94" s="213">
        <v>0</v>
      </c>
    </row>
    <row r="95" spans="3:23" ht="15" customHeight="1">
      <c r="C95" s="3">
        <v>10</v>
      </c>
      <c r="D95" s="15" t="s">
        <v>64</v>
      </c>
      <c r="E95" s="312" t="s">
        <v>65</v>
      </c>
      <c r="G95" s="26">
        <v>0</v>
      </c>
      <c r="H95" s="26">
        <v>0</v>
      </c>
      <c r="I95" s="26">
        <v>-2250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85"/>
      <c r="P95" s="202">
        <v>82</v>
      </c>
      <c r="Q95" s="210">
        <v>10</v>
      </c>
      <c r="R95" s="205" t="s">
        <v>68</v>
      </c>
      <c r="S95" s="206" t="s">
        <v>69</v>
      </c>
      <c r="T95" s="211">
        <v>0</v>
      </c>
      <c r="U95" s="211">
        <v>0</v>
      </c>
      <c r="V95" s="213">
        <v>0</v>
      </c>
      <c r="W95" s="213">
        <v>0</v>
      </c>
    </row>
    <row r="96" spans="3:23" ht="15" customHeight="1">
      <c r="C96" s="3">
        <v>10</v>
      </c>
      <c r="D96" s="15" t="s">
        <v>2872</v>
      </c>
      <c r="E96" s="312" t="s">
        <v>2880</v>
      </c>
      <c r="G96" s="26"/>
      <c r="H96" s="26"/>
      <c r="I96" s="26"/>
      <c r="J96" s="26"/>
      <c r="K96" s="26">
        <v>0</v>
      </c>
      <c r="L96" s="26">
        <v>0</v>
      </c>
      <c r="M96" s="26">
        <v>0</v>
      </c>
      <c r="N96" s="26">
        <v>7500</v>
      </c>
      <c r="O96" s="285" t="s">
        <v>2947</v>
      </c>
      <c r="P96" s="202"/>
      <c r="Q96" s="210"/>
      <c r="R96" s="205"/>
      <c r="S96" s="206"/>
      <c r="T96" s="211"/>
      <c r="U96" s="211"/>
      <c r="V96" s="213"/>
      <c r="W96" s="213"/>
    </row>
    <row r="97" spans="1:23" ht="15" customHeight="1">
      <c r="C97" s="3">
        <v>10</v>
      </c>
      <c r="D97" s="15" t="s">
        <v>2871</v>
      </c>
      <c r="E97" s="312" t="s">
        <v>2879</v>
      </c>
      <c r="G97" s="26"/>
      <c r="H97" s="26"/>
      <c r="I97" s="26"/>
      <c r="J97" s="26"/>
      <c r="K97" s="26">
        <v>0</v>
      </c>
      <c r="L97" s="26">
        <v>0</v>
      </c>
      <c r="M97" s="26">
        <v>0</v>
      </c>
      <c r="N97" s="26">
        <v>0</v>
      </c>
      <c r="O97" s="285"/>
      <c r="P97" s="202"/>
      <c r="Q97" s="210"/>
      <c r="R97" s="205"/>
      <c r="S97" s="206"/>
      <c r="T97" s="211"/>
      <c r="U97" s="211"/>
      <c r="V97" s="213"/>
      <c r="W97" s="213"/>
    </row>
    <row r="98" spans="1:23" ht="15" customHeight="1">
      <c r="C98" s="3">
        <v>10</v>
      </c>
      <c r="D98" s="15">
        <v>4890</v>
      </c>
      <c r="E98" s="312" t="s">
        <v>66</v>
      </c>
      <c r="G98" s="26">
        <v>39722</v>
      </c>
      <c r="H98" s="26">
        <v>23517</v>
      </c>
      <c r="I98" s="26">
        <v>13396</v>
      </c>
      <c r="J98" s="26">
        <v>38439</v>
      </c>
      <c r="K98" s="26">
        <v>33000</v>
      </c>
      <c r="L98" s="26">
        <v>19730</v>
      </c>
      <c r="M98" s="26">
        <v>62000</v>
      </c>
      <c r="N98" s="26">
        <v>25000</v>
      </c>
      <c r="O98" s="285" t="s">
        <v>3037</v>
      </c>
      <c r="P98" s="202">
        <v>83</v>
      </c>
      <c r="Q98" s="210">
        <v>10</v>
      </c>
      <c r="R98" s="205">
        <v>4990</v>
      </c>
      <c r="S98" s="206" t="s">
        <v>70</v>
      </c>
      <c r="T98" s="211">
        <v>0</v>
      </c>
      <c r="U98" s="211">
        <v>0</v>
      </c>
      <c r="V98" s="213">
        <v>0</v>
      </c>
      <c r="W98" s="213">
        <v>0</v>
      </c>
    </row>
    <row r="99" spans="1:23" ht="15" customHeight="1">
      <c r="C99" s="3">
        <v>10</v>
      </c>
      <c r="D99" s="314">
        <v>4890.1000000000004</v>
      </c>
      <c r="E99" s="312" t="s">
        <v>67</v>
      </c>
      <c r="G99" s="26">
        <v>300</v>
      </c>
      <c r="H99" s="26">
        <v>5039</v>
      </c>
      <c r="I99" s="26">
        <v>4421</v>
      </c>
      <c r="J99" s="26">
        <v>1508</v>
      </c>
      <c r="K99" s="26">
        <v>2000</v>
      </c>
      <c r="L99" s="26">
        <v>2854</v>
      </c>
      <c r="M99" s="26">
        <v>3500</v>
      </c>
      <c r="N99" s="26">
        <v>2000</v>
      </c>
      <c r="O99" s="285"/>
      <c r="P99" s="202">
        <v>84</v>
      </c>
      <c r="Q99" s="210">
        <v>10</v>
      </c>
      <c r="R99" s="205">
        <v>4990.1000000000004</v>
      </c>
      <c r="S99" s="206" t="s">
        <v>71</v>
      </c>
      <c r="T99" s="211">
        <v>0</v>
      </c>
      <c r="U99" s="211">
        <v>0</v>
      </c>
      <c r="V99" s="213">
        <v>0</v>
      </c>
      <c r="W99" s="213">
        <v>0</v>
      </c>
    </row>
    <row r="100" spans="1:23" ht="15" customHeight="1">
      <c r="C100" s="3">
        <v>10</v>
      </c>
      <c r="D100" s="15">
        <v>4890.1890000000003</v>
      </c>
      <c r="E100" s="312" t="s">
        <v>1884</v>
      </c>
      <c r="G100" s="26">
        <v>284412</v>
      </c>
      <c r="H100" s="26">
        <v>19257</v>
      </c>
      <c r="I100" s="26">
        <v>17012</v>
      </c>
      <c r="J100" s="26">
        <v>600</v>
      </c>
      <c r="K100" s="26">
        <v>15200</v>
      </c>
      <c r="L100" s="26">
        <v>9291</v>
      </c>
      <c r="M100" s="26">
        <v>12000</v>
      </c>
      <c r="N100" s="26">
        <v>12000</v>
      </c>
      <c r="O100" s="285"/>
      <c r="P100" s="202">
        <v>85</v>
      </c>
      <c r="Q100" s="210">
        <v>10</v>
      </c>
      <c r="R100" s="205">
        <v>4990.2</v>
      </c>
      <c r="S100" s="206" t="s">
        <v>72</v>
      </c>
      <c r="T100" s="211">
        <v>0</v>
      </c>
      <c r="U100" s="211">
        <v>0</v>
      </c>
      <c r="V100" s="213">
        <v>0</v>
      </c>
      <c r="W100" s="213">
        <v>0</v>
      </c>
    </row>
    <row r="101" spans="1:23" ht="15" customHeight="1">
      <c r="C101" s="3">
        <v>10</v>
      </c>
      <c r="D101" s="15" t="s">
        <v>68</v>
      </c>
      <c r="E101" s="312" t="s">
        <v>69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85"/>
      <c r="P101" s="202">
        <v>86</v>
      </c>
      <c r="Q101" s="210">
        <v>10</v>
      </c>
      <c r="R101" s="205">
        <v>4990.3</v>
      </c>
      <c r="S101" s="206" t="s">
        <v>73</v>
      </c>
      <c r="T101" s="211">
        <v>10000</v>
      </c>
      <c r="U101" s="211">
        <v>80</v>
      </c>
      <c r="V101" s="213">
        <v>4038.59</v>
      </c>
      <c r="W101" s="213">
        <v>40.39</v>
      </c>
    </row>
    <row r="102" spans="1:23" ht="15" customHeight="1">
      <c r="C102" s="3">
        <v>10</v>
      </c>
      <c r="D102" s="15">
        <v>4990</v>
      </c>
      <c r="E102" s="312" t="s">
        <v>70</v>
      </c>
      <c r="G102" s="26">
        <v>0</v>
      </c>
      <c r="H102" s="26">
        <v>191436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85"/>
      <c r="P102" s="202">
        <v>87</v>
      </c>
      <c r="Q102" s="210">
        <v>10</v>
      </c>
      <c r="R102" s="205">
        <v>4990.3999999999996</v>
      </c>
      <c r="S102" s="206" t="s">
        <v>74</v>
      </c>
      <c r="T102" s="211">
        <v>2500</v>
      </c>
      <c r="U102" s="211">
        <v>0</v>
      </c>
      <c r="V102" s="213">
        <v>0</v>
      </c>
      <c r="W102" s="213">
        <v>0</v>
      </c>
    </row>
    <row r="103" spans="1:23" ht="15" customHeight="1">
      <c r="C103" s="3">
        <v>10</v>
      </c>
      <c r="D103" s="314">
        <v>4990.1000000000004</v>
      </c>
      <c r="E103" s="312" t="s">
        <v>71</v>
      </c>
      <c r="G103" s="26">
        <v>25295</v>
      </c>
      <c r="H103" s="26">
        <v>8236</v>
      </c>
      <c r="I103" s="26">
        <v>35290</v>
      </c>
      <c r="J103" s="26">
        <v>25864</v>
      </c>
      <c r="K103" s="26">
        <v>0</v>
      </c>
      <c r="L103" s="26">
        <v>0</v>
      </c>
      <c r="M103" s="26">
        <v>0</v>
      </c>
      <c r="N103" s="26">
        <v>0</v>
      </c>
      <c r="O103" s="285"/>
      <c r="P103" s="202">
        <v>88</v>
      </c>
      <c r="Q103" s="210">
        <v>10</v>
      </c>
      <c r="R103" s="205">
        <v>4990.5</v>
      </c>
      <c r="S103" s="206" t="s">
        <v>75</v>
      </c>
      <c r="T103" s="211">
        <v>141</v>
      </c>
      <c r="U103" s="211">
        <v>0</v>
      </c>
      <c r="V103" s="213">
        <v>0</v>
      </c>
      <c r="W103" s="213">
        <v>0</v>
      </c>
    </row>
    <row r="104" spans="1:23" ht="15" customHeight="1">
      <c r="C104" s="3">
        <v>10</v>
      </c>
      <c r="D104" s="314">
        <v>4990.2</v>
      </c>
      <c r="E104" s="312" t="s">
        <v>72</v>
      </c>
      <c r="G104" s="26">
        <v>7068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85"/>
      <c r="P104" s="202">
        <v>89</v>
      </c>
      <c r="Q104" s="210">
        <v>10</v>
      </c>
      <c r="R104" s="205" t="s">
        <v>76</v>
      </c>
      <c r="S104" s="206" t="s">
        <v>77</v>
      </c>
      <c r="T104" s="211">
        <v>0</v>
      </c>
      <c r="U104" s="211">
        <v>0</v>
      </c>
      <c r="V104" s="213">
        <v>0</v>
      </c>
      <c r="W104" s="213">
        <v>0</v>
      </c>
    </row>
    <row r="105" spans="1:23" ht="15" customHeight="1">
      <c r="C105" s="3">
        <v>10</v>
      </c>
      <c r="D105" s="314">
        <v>4990.3</v>
      </c>
      <c r="E105" s="312" t="s">
        <v>73</v>
      </c>
      <c r="G105" s="26">
        <v>54311</v>
      </c>
      <c r="H105" s="26">
        <v>3501</v>
      </c>
      <c r="I105" s="26">
        <v>9106</v>
      </c>
      <c r="J105" s="26">
        <v>19551</v>
      </c>
      <c r="K105" s="26">
        <v>10000</v>
      </c>
      <c r="L105" s="26">
        <v>3959</v>
      </c>
      <c r="M105" s="26">
        <v>7000</v>
      </c>
      <c r="N105" s="26">
        <v>7000</v>
      </c>
      <c r="O105" s="285"/>
      <c r="P105" s="202">
        <v>90</v>
      </c>
      <c r="Q105" s="210">
        <v>10</v>
      </c>
      <c r="R105" s="205" t="s">
        <v>2620</v>
      </c>
      <c r="S105" s="206"/>
      <c r="T105" s="211">
        <v>6462473</v>
      </c>
      <c r="U105" s="211">
        <v>408064.63</v>
      </c>
      <c r="V105" s="213">
        <v>4474702.51</v>
      </c>
      <c r="W105" s="213">
        <v>69.239999999999995</v>
      </c>
    </row>
    <row r="106" spans="1:23" ht="15" customHeight="1">
      <c r="C106" s="3">
        <v>10</v>
      </c>
      <c r="D106" s="314">
        <v>4990.3999999999996</v>
      </c>
      <c r="E106" s="312" t="s">
        <v>74</v>
      </c>
      <c r="G106" s="26">
        <v>2500</v>
      </c>
      <c r="H106" s="26">
        <v>0</v>
      </c>
      <c r="I106" s="26">
        <v>5136</v>
      </c>
      <c r="J106" s="26">
        <v>3750</v>
      </c>
      <c r="K106" s="26">
        <v>2500</v>
      </c>
      <c r="L106" s="26">
        <v>0</v>
      </c>
      <c r="M106" s="26">
        <v>2500</v>
      </c>
      <c r="N106" s="26">
        <v>0</v>
      </c>
      <c r="O106" s="285"/>
      <c r="P106" s="202">
        <v>91</v>
      </c>
      <c r="Q106" s="210">
        <v>10</v>
      </c>
      <c r="R106" s="205" t="s">
        <v>2621</v>
      </c>
      <c r="S106" s="206"/>
      <c r="T106" s="211"/>
      <c r="U106" s="211"/>
      <c r="V106" s="213"/>
      <c r="W106" s="213"/>
    </row>
    <row r="107" spans="1:23" ht="15" customHeight="1">
      <c r="C107" s="3">
        <v>10</v>
      </c>
      <c r="D107" s="314">
        <v>4990.5</v>
      </c>
      <c r="E107" s="312" t="s">
        <v>75</v>
      </c>
      <c r="G107" s="26">
        <v>4125</v>
      </c>
      <c r="H107" s="26">
        <v>0</v>
      </c>
      <c r="I107" s="26">
        <v>93</v>
      </c>
      <c r="J107" s="26">
        <v>5772</v>
      </c>
      <c r="K107" s="26">
        <v>141</v>
      </c>
      <c r="L107" s="26">
        <v>0</v>
      </c>
      <c r="M107" s="26">
        <v>0</v>
      </c>
      <c r="N107" s="26">
        <v>0</v>
      </c>
      <c r="O107" s="285"/>
      <c r="P107" s="202">
        <v>92</v>
      </c>
      <c r="Q107" s="210">
        <v>10</v>
      </c>
      <c r="R107" s="205" t="s">
        <v>2622</v>
      </c>
      <c r="S107" s="206"/>
      <c r="T107" s="211"/>
      <c r="U107" s="211"/>
      <c r="V107" s="213"/>
      <c r="W107" s="213"/>
    </row>
    <row r="108" spans="1:23" ht="15" customHeight="1">
      <c r="C108" s="3">
        <v>10</v>
      </c>
      <c r="D108" s="15" t="s">
        <v>76</v>
      </c>
      <c r="E108" s="312" t="s">
        <v>77</v>
      </c>
      <c r="G108" s="26">
        <v>1776</v>
      </c>
      <c r="H108" s="26">
        <v>4391</v>
      </c>
      <c r="I108" s="26">
        <v>2741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85"/>
      <c r="P108" s="202">
        <v>93</v>
      </c>
      <c r="Q108" s="210">
        <v>10</v>
      </c>
      <c r="R108" s="205" t="s">
        <v>78</v>
      </c>
      <c r="S108" s="206" t="s">
        <v>79</v>
      </c>
      <c r="T108" s="211">
        <v>0</v>
      </c>
      <c r="U108" s="211">
        <v>0</v>
      </c>
      <c r="V108" s="213">
        <v>10269.92</v>
      </c>
      <c r="W108" s="213">
        <v>0</v>
      </c>
    </row>
    <row r="109" spans="1:23" ht="15" customHeight="1">
      <c r="E109" s="14"/>
      <c r="M109" s="26"/>
      <c r="N109" s="26"/>
      <c r="P109" s="202">
        <v>94</v>
      </c>
      <c r="Q109" s="210">
        <v>10</v>
      </c>
      <c r="R109" s="205" t="s">
        <v>80</v>
      </c>
      <c r="S109" s="206" t="s">
        <v>81</v>
      </c>
      <c r="T109" s="211">
        <v>0</v>
      </c>
      <c r="U109" s="211">
        <v>0</v>
      </c>
      <c r="V109" s="213">
        <v>0</v>
      </c>
      <c r="W109" s="213">
        <v>0</v>
      </c>
    </row>
    <row r="110" spans="1:23" s="27" customFormat="1" ht="15" customHeight="1" thickBot="1">
      <c r="A110" s="2"/>
      <c r="B110" s="2" t="s">
        <v>2317</v>
      </c>
      <c r="C110" s="3"/>
      <c r="D110" s="68" t="s">
        <v>2192</v>
      </c>
      <c r="E110" s="68"/>
      <c r="F110" s="320"/>
      <c r="G110" s="321">
        <f t="shared" ref="G110:L110" si="25">SUM(G48:G109)</f>
        <v>5171853</v>
      </c>
      <c r="H110" s="321">
        <f t="shared" si="25"/>
        <v>5974945</v>
      </c>
      <c r="I110" s="321">
        <f t="shared" si="25"/>
        <v>5830612</v>
      </c>
      <c r="J110" s="321">
        <f t="shared" si="25"/>
        <v>5874198</v>
      </c>
      <c r="K110" s="321">
        <f t="shared" si="25"/>
        <v>6462473</v>
      </c>
      <c r="L110" s="321">
        <f t="shared" si="25"/>
        <v>4066639</v>
      </c>
      <c r="M110" s="321">
        <f>SUM(M46:M109)</f>
        <v>6434454</v>
      </c>
      <c r="N110" s="321">
        <f>SUM(N46:N109)</f>
        <v>6620104.8294474604</v>
      </c>
      <c r="O110" s="281"/>
      <c r="P110" s="202">
        <v>95</v>
      </c>
      <c r="Q110" s="210">
        <v>10</v>
      </c>
      <c r="R110" s="205" t="s">
        <v>82</v>
      </c>
      <c r="S110" s="206" t="s">
        <v>83</v>
      </c>
      <c r="T110" s="211">
        <v>0</v>
      </c>
      <c r="U110" s="211">
        <v>0</v>
      </c>
      <c r="V110" s="213">
        <v>0</v>
      </c>
      <c r="W110" s="213">
        <v>0</v>
      </c>
    </row>
    <row r="111" spans="1:23" s="5" customFormat="1" ht="15" customHeight="1" thickTop="1">
      <c r="A111" s="2"/>
      <c r="B111" s="2"/>
      <c r="C111" s="3"/>
      <c r="D111" s="15"/>
      <c r="E111" s="15"/>
      <c r="F111" s="105"/>
      <c r="G111" s="26"/>
      <c r="H111" s="26"/>
      <c r="I111" s="26"/>
      <c r="J111" s="26"/>
      <c r="K111" s="26"/>
      <c r="L111" s="26"/>
      <c r="M111" s="26"/>
      <c r="N111" s="26"/>
      <c r="O111" s="282"/>
      <c r="P111" s="202">
        <v>96</v>
      </c>
      <c r="Q111" s="210">
        <v>10</v>
      </c>
      <c r="R111" s="205" t="s">
        <v>84</v>
      </c>
      <c r="S111" s="206" t="s">
        <v>85</v>
      </c>
      <c r="T111" s="211">
        <v>0</v>
      </c>
      <c r="U111" s="211">
        <v>-596.53</v>
      </c>
      <c r="V111" s="213">
        <v>0</v>
      </c>
      <c r="W111" s="213">
        <v>0</v>
      </c>
    </row>
    <row r="112" spans="1:23" s="5" customFormat="1" ht="15" customHeight="1">
      <c r="A112" s="2"/>
      <c r="B112" s="2"/>
      <c r="C112" s="3"/>
      <c r="D112" s="47" t="s">
        <v>0</v>
      </c>
      <c r="E112" s="15"/>
      <c r="F112" s="105"/>
      <c r="G112" s="26"/>
      <c r="H112" s="26"/>
      <c r="I112" s="26"/>
      <c r="J112" s="26"/>
      <c r="K112" s="26"/>
      <c r="L112" s="26"/>
      <c r="M112" s="26"/>
      <c r="N112" s="26"/>
      <c r="O112" s="282"/>
      <c r="P112" s="202">
        <v>97</v>
      </c>
      <c r="Q112" s="210">
        <v>10</v>
      </c>
      <c r="R112" s="205" t="s">
        <v>86</v>
      </c>
      <c r="S112" s="206" t="s">
        <v>87</v>
      </c>
      <c r="T112" s="211">
        <v>0</v>
      </c>
      <c r="U112" s="211">
        <v>0</v>
      </c>
      <c r="V112" s="213">
        <v>785.14</v>
      </c>
      <c r="W112" s="213">
        <v>0</v>
      </c>
    </row>
    <row r="113" spans="1:23" s="5" customFormat="1" ht="15" customHeight="1">
      <c r="A113" s="2"/>
      <c r="B113" s="2"/>
      <c r="C113" s="3"/>
      <c r="D113" s="15"/>
      <c r="E113" s="15"/>
      <c r="F113" s="105"/>
      <c r="G113" s="26"/>
      <c r="H113" s="26"/>
      <c r="I113" s="26"/>
      <c r="J113" s="26"/>
      <c r="K113" s="26"/>
      <c r="L113" s="26"/>
      <c r="M113" s="26"/>
      <c r="N113" s="26"/>
      <c r="O113" s="282"/>
      <c r="P113" s="202">
        <v>98</v>
      </c>
      <c r="Q113" s="210">
        <v>10</v>
      </c>
      <c r="R113" s="205" t="s">
        <v>88</v>
      </c>
      <c r="S113" s="206" t="s">
        <v>89</v>
      </c>
      <c r="T113" s="211">
        <v>0</v>
      </c>
      <c r="U113" s="211">
        <v>0</v>
      </c>
      <c r="V113" s="213">
        <v>3282.98</v>
      </c>
      <c r="W113" s="213">
        <v>0</v>
      </c>
    </row>
    <row r="114" spans="1:23" s="5" customFormat="1" ht="15" customHeight="1">
      <c r="A114" s="2"/>
      <c r="B114" s="2"/>
      <c r="C114" s="3"/>
      <c r="D114" s="47" t="s">
        <v>2003</v>
      </c>
      <c r="E114" s="15"/>
      <c r="F114" s="105"/>
      <c r="G114" s="26"/>
      <c r="H114" s="26"/>
      <c r="I114" s="26"/>
      <c r="J114" s="26"/>
      <c r="K114" s="26"/>
      <c r="L114" s="26"/>
      <c r="M114" s="26"/>
      <c r="N114" s="26"/>
      <c r="O114" s="282"/>
      <c r="P114" s="202">
        <v>99</v>
      </c>
      <c r="Q114" s="210">
        <v>10</v>
      </c>
      <c r="R114" s="205" t="s">
        <v>90</v>
      </c>
      <c r="S114" s="206" t="s">
        <v>91</v>
      </c>
      <c r="T114" s="211">
        <v>0</v>
      </c>
      <c r="U114" s="211">
        <v>0</v>
      </c>
      <c r="V114" s="213">
        <v>0</v>
      </c>
      <c r="W114" s="213">
        <v>0</v>
      </c>
    </row>
    <row r="115" spans="1:23" ht="15" customHeight="1">
      <c r="G115" s="26"/>
      <c r="H115" s="26"/>
      <c r="I115" s="26"/>
      <c r="J115" s="26"/>
      <c r="K115" s="26"/>
      <c r="L115" s="26"/>
      <c r="M115" s="26"/>
      <c r="N115" s="26"/>
      <c r="P115" s="202">
        <v>100</v>
      </c>
      <c r="Q115" s="210">
        <v>10</v>
      </c>
      <c r="R115" s="205" t="s">
        <v>92</v>
      </c>
      <c r="S115" s="206" t="s">
        <v>93</v>
      </c>
      <c r="T115" s="211">
        <v>0</v>
      </c>
      <c r="U115" s="211">
        <v>0</v>
      </c>
      <c r="V115" s="213">
        <v>0</v>
      </c>
      <c r="W115" s="213">
        <v>0</v>
      </c>
    </row>
    <row r="116" spans="1:23" ht="15" customHeight="1">
      <c r="C116" s="3">
        <v>10</v>
      </c>
      <c r="D116" s="15" t="s">
        <v>78</v>
      </c>
      <c r="E116" s="312" t="s">
        <v>79</v>
      </c>
      <c r="G116" s="26">
        <v>9970</v>
      </c>
      <c r="H116" s="26">
        <v>11008</v>
      </c>
      <c r="I116" s="26">
        <v>298</v>
      </c>
      <c r="J116" s="26">
        <v>-8280</v>
      </c>
      <c r="K116" s="26">
        <v>0</v>
      </c>
      <c r="L116" s="26">
        <v>10270</v>
      </c>
      <c r="M116" s="26">
        <v>10270</v>
      </c>
      <c r="N116" s="26">
        <v>0</v>
      </c>
      <c r="O116" s="275" t="s">
        <v>3027</v>
      </c>
      <c r="P116" s="202">
        <v>101</v>
      </c>
      <c r="Q116" s="210">
        <v>10</v>
      </c>
      <c r="R116" s="205" t="s">
        <v>94</v>
      </c>
      <c r="S116" s="206" t="s">
        <v>95</v>
      </c>
      <c r="T116" s="211">
        <v>0</v>
      </c>
      <c r="U116" s="211">
        <v>0</v>
      </c>
      <c r="V116" s="213">
        <v>0</v>
      </c>
      <c r="W116" s="213">
        <v>0</v>
      </c>
    </row>
    <row r="117" spans="1:23" ht="15" customHeight="1">
      <c r="C117" s="3">
        <v>10</v>
      </c>
      <c r="D117" s="15" t="s">
        <v>80</v>
      </c>
      <c r="E117" s="312" t="s">
        <v>81</v>
      </c>
      <c r="G117" s="26">
        <v>0</v>
      </c>
      <c r="H117" s="26">
        <v>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P117" s="202">
        <v>102</v>
      </c>
      <c r="Q117" s="210">
        <v>10</v>
      </c>
      <c r="R117" s="205" t="s">
        <v>96</v>
      </c>
      <c r="S117" s="206" t="s">
        <v>97</v>
      </c>
      <c r="T117" s="211">
        <v>0</v>
      </c>
      <c r="U117" s="211">
        <v>0</v>
      </c>
      <c r="V117" s="213">
        <v>0</v>
      </c>
      <c r="W117" s="213">
        <v>0</v>
      </c>
    </row>
    <row r="118" spans="1:23" ht="15" customHeight="1">
      <c r="C118" s="3">
        <v>10</v>
      </c>
      <c r="D118" s="15" t="s">
        <v>82</v>
      </c>
      <c r="E118" s="312" t="s">
        <v>83</v>
      </c>
      <c r="G118" s="26">
        <v>0</v>
      </c>
      <c r="H118" s="26">
        <v>90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P118" s="202">
        <v>103</v>
      </c>
      <c r="Q118" s="210">
        <v>10</v>
      </c>
      <c r="R118" s="205" t="s">
        <v>98</v>
      </c>
      <c r="S118" s="206" t="s">
        <v>99</v>
      </c>
      <c r="T118" s="211">
        <v>0</v>
      </c>
      <c r="U118" s="211">
        <v>0</v>
      </c>
      <c r="V118" s="213">
        <v>0</v>
      </c>
      <c r="W118" s="213">
        <v>0</v>
      </c>
    </row>
    <row r="119" spans="1:23" ht="15" customHeight="1">
      <c r="C119" s="3">
        <v>10</v>
      </c>
      <c r="D119" s="15" t="s">
        <v>84</v>
      </c>
      <c r="E119" s="312" t="s">
        <v>85</v>
      </c>
      <c r="G119" s="26">
        <v>-13</v>
      </c>
      <c r="H119" s="26">
        <v>-1507</v>
      </c>
      <c r="I119" s="26">
        <v>0</v>
      </c>
      <c r="J119" s="26">
        <v>144</v>
      </c>
      <c r="K119" s="26">
        <v>0</v>
      </c>
      <c r="L119" s="26">
        <v>597</v>
      </c>
      <c r="M119" s="26">
        <v>0</v>
      </c>
      <c r="N119" s="26">
        <v>0</v>
      </c>
      <c r="P119" s="202">
        <v>104</v>
      </c>
      <c r="Q119" s="210">
        <v>10</v>
      </c>
      <c r="R119" s="205" t="s">
        <v>100</v>
      </c>
      <c r="S119" s="206" t="s">
        <v>101</v>
      </c>
      <c r="T119" s="211">
        <v>0</v>
      </c>
      <c r="U119" s="211">
        <v>0</v>
      </c>
      <c r="V119" s="213">
        <v>0</v>
      </c>
      <c r="W119" s="213">
        <v>0</v>
      </c>
    </row>
    <row r="120" spans="1:23" ht="15" customHeight="1">
      <c r="C120" s="3">
        <v>10</v>
      </c>
      <c r="D120" s="15" t="s">
        <v>86</v>
      </c>
      <c r="E120" s="312" t="s">
        <v>87</v>
      </c>
      <c r="G120" s="26">
        <v>763</v>
      </c>
      <c r="H120" s="26">
        <v>842</v>
      </c>
      <c r="I120" s="26">
        <v>23</v>
      </c>
      <c r="J120" s="26">
        <v>-633</v>
      </c>
      <c r="K120" s="26">
        <v>0</v>
      </c>
      <c r="L120" s="26">
        <v>785</v>
      </c>
      <c r="M120" s="26">
        <v>0</v>
      </c>
      <c r="N120" s="26">
        <v>0</v>
      </c>
      <c r="P120" s="202">
        <v>105</v>
      </c>
      <c r="Q120" s="210">
        <v>10</v>
      </c>
      <c r="R120" s="205" t="s">
        <v>102</v>
      </c>
      <c r="S120" s="206" t="s">
        <v>103</v>
      </c>
      <c r="T120" s="211">
        <v>0</v>
      </c>
      <c r="U120" s="211">
        <v>0</v>
      </c>
      <c r="V120" s="213">
        <v>0</v>
      </c>
      <c r="W120" s="213">
        <v>0</v>
      </c>
    </row>
    <row r="121" spans="1:23" ht="15" customHeight="1">
      <c r="C121" s="3">
        <v>10</v>
      </c>
      <c r="D121" s="15" t="s">
        <v>88</v>
      </c>
      <c r="E121" s="312" t="s">
        <v>89</v>
      </c>
      <c r="G121" s="26">
        <v>1417</v>
      </c>
      <c r="H121" s="26">
        <v>3227</v>
      </c>
      <c r="I121" s="26">
        <v>165</v>
      </c>
      <c r="J121" s="26">
        <v>-3014</v>
      </c>
      <c r="K121" s="26">
        <v>0</v>
      </c>
      <c r="L121" s="26">
        <v>3283</v>
      </c>
      <c r="M121" s="26">
        <v>0</v>
      </c>
      <c r="N121" s="26">
        <v>0</v>
      </c>
      <c r="P121" s="202">
        <v>106</v>
      </c>
      <c r="Q121" s="210">
        <v>10</v>
      </c>
      <c r="R121" s="205" t="s">
        <v>2623</v>
      </c>
      <c r="S121" s="206"/>
      <c r="T121" s="211"/>
      <c r="U121" s="211"/>
      <c r="V121" s="213"/>
      <c r="W121" s="213"/>
    </row>
    <row r="122" spans="1:23" ht="15" customHeight="1">
      <c r="C122" s="3">
        <v>10</v>
      </c>
      <c r="D122" s="15" t="s">
        <v>90</v>
      </c>
      <c r="E122" s="312" t="s">
        <v>91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P122" s="202">
        <v>107</v>
      </c>
      <c r="Q122" s="210">
        <v>10</v>
      </c>
      <c r="R122" s="205" t="s">
        <v>2621</v>
      </c>
      <c r="S122" s="206"/>
      <c r="T122" s="211">
        <v>0</v>
      </c>
      <c r="U122" s="211">
        <v>-596.53</v>
      </c>
      <c r="V122" s="213">
        <v>14338.04</v>
      </c>
      <c r="W122" s="213">
        <v>0</v>
      </c>
    </row>
    <row r="123" spans="1:23" ht="15" customHeight="1">
      <c r="C123" s="3">
        <v>10</v>
      </c>
      <c r="D123" s="15" t="s">
        <v>92</v>
      </c>
      <c r="E123" s="312" t="s">
        <v>93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P123" s="202">
        <v>108</v>
      </c>
      <c r="Q123" s="210">
        <v>10</v>
      </c>
      <c r="R123" s="205" t="s">
        <v>104</v>
      </c>
      <c r="S123" s="206"/>
      <c r="T123" s="211"/>
      <c r="U123" s="211"/>
      <c r="V123" s="213"/>
      <c r="W123" s="213"/>
    </row>
    <row r="124" spans="1:23" ht="15" customHeight="1">
      <c r="C124" s="3">
        <v>10</v>
      </c>
      <c r="D124" s="15" t="s">
        <v>94</v>
      </c>
      <c r="E124" s="312" t="s">
        <v>95</v>
      </c>
      <c r="G124" s="26">
        <v>0</v>
      </c>
      <c r="H124" s="26">
        <v>0</v>
      </c>
      <c r="I124" s="26">
        <v>0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P124" s="202">
        <v>109</v>
      </c>
      <c r="Q124" s="210">
        <v>10</v>
      </c>
      <c r="R124" s="205" t="s">
        <v>2624</v>
      </c>
      <c r="S124" s="206"/>
      <c r="T124" s="211"/>
      <c r="U124" s="211"/>
      <c r="V124" s="213"/>
      <c r="W124" s="213"/>
    </row>
    <row r="125" spans="1:23" ht="15" customHeight="1">
      <c r="C125" s="3">
        <v>10</v>
      </c>
      <c r="D125" s="15" t="s">
        <v>96</v>
      </c>
      <c r="E125" s="312" t="s">
        <v>97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P125" s="202">
        <v>110</v>
      </c>
      <c r="Q125" s="210">
        <v>10</v>
      </c>
      <c r="R125" s="205" t="s">
        <v>105</v>
      </c>
      <c r="S125" s="206" t="s">
        <v>106</v>
      </c>
      <c r="T125" s="211">
        <v>0</v>
      </c>
      <c r="U125" s="211">
        <v>0</v>
      </c>
      <c r="V125" s="213">
        <v>0</v>
      </c>
      <c r="W125" s="213">
        <v>0</v>
      </c>
    </row>
    <row r="126" spans="1:23" ht="15" customHeight="1">
      <c r="C126" s="3">
        <v>10</v>
      </c>
      <c r="D126" s="15" t="s">
        <v>98</v>
      </c>
      <c r="E126" s="312" t="s">
        <v>99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P126" s="202">
        <v>111</v>
      </c>
      <c r="Q126" s="210">
        <v>10</v>
      </c>
      <c r="R126" s="205" t="s">
        <v>2623</v>
      </c>
      <c r="S126" s="206"/>
      <c r="T126" s="211"/>
      <c r="U126" s="211"/>
      <c r="V126" s="213"/>
      <c r="W126" s="213"/>
    </row>
    <row r="127" spans="1:23" ht="15" customHeight="1">
      <c r="C127" s="3">
        <v>10</v>
      </c>
      <c r="D127" s="15" t="s">
        <v>100</v>
      </c>
      <c r="E127" s="312" t="s">
        <v>101</v>
      </c>
      <c r="G127" s="26">
        <v>0</v>
      </c>
      <c r="H127" s="26">
        <v>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P127" s="202">
        <v>112</v>
      </c>
      <c r="Q127" s="210">
        <v>10</v>
      </c>
      <c r="R127" s="205" t="s">
        <v>104</v>
      </c>
      <c r="S127" s="206"/>
      <c r="T127" s="211">
        <v>0</v>
      </c>
      <c r="U127" s="211">
        <v>0</v>
      </c>
      <c r="V127" s="213">
        <v>0</v>
      </c>
      <c r="W127" s="213">
        <v>0</v>
      </c>
    </row>
    <row r="128" spans="1:23" ht="15" customHeight="1">
      <c r="C128" s="3">
        <v>10</v>
      </c>
      <c r="D128" s="15" t="s">
        <v>102</v>
      </c>
      <c r="E128" s="312" t="s">
        <v>103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P128" s="202">
        <v>113</v>
      </c>
      <c r="Q128" s="210">
        <v>10</v>
      </c>
      <c r="R128" s="205" t="s">
        <v>2623</v>
      </c>
      <c r="S128" s="206"/>
      <c r="T128" s="211"/>
      <c r="U128" s="211"/>
      <c r="V128" s="213"/>
      <c r="W128" s="213"/>
    </row>
    <row r="129" spans="1:23" ht="15" customHeight="1">
      <c r="G129" s="26"/>
      <c r="H129" s="26"/>
      <c r="I129" s="26"/>
      <c r="J129" s="26"/>
      <c r="K129" s="26"/>
      <c r="L129" s="26"/>
      <c r="M129" s="26"/>
      <c r="N129" s="26"/>
      <c r="P129" s="202">
        <v>114</v>
      </c>
      <c r="Q129" s="210">
        <v>10</v>
      </c>
      <c r="R129" s="205" t="s">
        <v>2625</v>
      </c>
      <c r="S129" s="206"/>
      <c r="T129" s="211">
        <v>0</v>
      </c>
      <c r="U129" s="211">
        <v>-596.53</v>
      </c>
      <c r="V129" s="213">
        <v>14338.04</v>
      </c>
      <c r="W129" s="213">
        <v>0</v>
      </c>
    </row>
    <row r="130" spans="1:23" s="72" customFormat="1" ht="15" customHeight="1">
      <c r="A130" s="5" t="s">
        <v>2410</v>
      </c>
      <c r="B130" s="5" t="s">
        <v>2317</v>
      </c>
      <c r="C130" s="3"/>
      <c r="D130" s="323" t="s">
        <v>3096</v>
      </c>
      <c r="E130" s="323"/>
      <c r="F130" s="324"/>
      <c r="G130" s="325">
        <f>SUM(G115:G129)</f>
        <v>12137</v>
      </c>
      <c r="H130" s="325">
        <f t="shared" ref="H130:N130" si="26">SUM(H115:H129)</f>
        <v>13660</v>
      </c>
      <c r="I130" s="325">
        <f t="shared" si="26"/>
        <v>486</v>
      </c>
      <c r="J130" s="325">
        <f t="shared" si="26"/>
        <v>-11783</v>
      </c>
      <c r="K130" s="325">
        <f t="shared" si="26"/>
        <v>0</v>
      </c>
      <c r="L130" s="325">
        <f t="shared" si="26"/>
        <v>14935</v>
      </c>
      <c r="M130" s="325">
        <f t="shared" si="26"/>
        <v>10270</v>
      </c>
      <c r="N130" s="325">
        <f t="shared" si="26"/>
        <v>0</v>
      </c>
      <c r="O130" s="286"/>
      <c r="P130" s="202">
        <v>115</v>
      </c>
      <c r="Q130" s="210">
        <v>10</v>
      </c>
      <c r="R130" s="205" t="s">
        <v>2621</v>
      </c>
      <c r="S130" s="206"/>
      <c r="T130" s="211"/>
      <c r="U130" s="211"/>
      <c r="V130" s="213"/>
      <c r="W130" s="213"/>
    </row>
    <row r="131" spans="1:23" s="14" customFormat="1" ht="15" customHeight="1">
      <c r="A131" s="2"/>
      <c r="B131" s="2"/>
      <c r="C131" s="3"/>
      <c r="D131" s="15"/>
      <c r="E131" s="15"/>
      <c r="F131" s="105"/>
      <c r="G131" s="26"/>
      <c r="H131" s="26"/>
      <c r="I131" s="26"/>
      <c r="J131" s="26"/>
      <c r="K131" s="26"/>
      <c r="L131" s="26"/>
      <c r="M131" s="26"/>
      <c r="N131" s="26"/>
      <c r="O131" s="282"/>
      <c r="P131" s="202">
        <v>116</v>
      </c>
      <c r="Q131" s="210">
        <v>10</v>
      </c>
      <c r="R131" s="205" t="s">
        <v>2622</v>
      </c>
      <c r="S131" s="206"/>
      <c r="T131" s="211"/>
      <c r="U131" s="211"/>
      <c r="V131" s="213"/>
      <c r="W131" s="213"/>
    </row>
    <row r="132" spans="1:23" s="5" customFormat="1" ht="15" customHeight="1">
      <c r="A132" s="2"/>
      <c r="B132" s="2"/>
      <c r="C132" s="3"/>
      <c r="D132" s="47" t="s">
        <v>2004</v>
      </c>
      <c r="E132" s="15"/>
      <c r="F132" s="105"/>
      <c r="G132" s="26"/>
      <c r="H132" s="26"/>
      <c r="I132" s="26"/>
      <c r="J132" s="26"/>
      <c r="K132" s="26"/>
      <c r="L132" s="26"/>
      <c r="M132" s="26"/>
      <c r="N132" s="26"/>
      <c r="O132" s="282"/>
      <c r="P132" s="202">
        <v>117</v>
      </c>
      <c r="Q132" s="210">
        <v>10</v>
      </c>
      <c r="R132" s="205" t="s">
        <v>107</v>
      </c>
      <c r="S132" s="206" t="s">
        <v>79</v>
      </c>
      <c r="T132" s="211">
        <v>900</v>
      </c>
      <c r="U132" s="211">
        <v>75</v>
      </c>
      <c r="V132" s="213">
        <v>600</v>
      </c>
      <c r="W132" s="213">
        <v>66.67</v>
      </c>
    </row>
    <row r="133" spans="1:23" ht="15" customHeight="1">
      <c r="G133" s="26"/>
      <c r="H133" s="26"/>
      <c r="I133" s="26"/>
      <c r="J133" s="26"/>
      <c r="K133" s="26"/>
      <c r="L133" s="26"/>
      <c r="M133" s="26"/>
      <c r="N133" s="26"/>
      <c r="P133" s="202">
        <v>118</v>
      </c>
      <c r="Q133" s="210">
        <v>10</v>
      </c>
      <c r="R133" s="205" t="s">
        <v>108</v>
      </c>
      <c r="S133" s="206" t="s">
        <v>81</v>
      </c>
      <c r="T133" s="211">
        <v>0</v>
      </c>
      <c r="U133" s="211">
        <v>0</v>
      </c>
      <c r="V133" s="213">
        <v>0</v>
      </c>
      <c r="W133" s="213">
        <v>0</v>
      </c>
    </row>
    <row r="134" spans="1:23" ht="15" customHeight="1">
      <c r="D134" s="15" t="s">
        <v>105</v>
      </c>
      <c r="E134" s="312" t="s">
        <v>106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P134" s="202">
        <v>119</v>
      </c>
      <c r="Q134" s="210">
        <v>10</v>
      </c>
      <c r="R134" s="205" t="s">
        <v>109</v>
      </c>
      <c r="S134" s="206" t="s">
        <v>83</v>
      </c>
      <c r="T134" s="211">
        <v>0</v>
      </c>
      <c r="U134" s="211">
        <v>0</v>
      </c>
      <c r="V134" s="213">
        <v>0</v>
      </c>
      <c r="W134" s="213">
        <v>0</v>
      </c>
    </row>
    <row r="135" spans="1:23" ht="15" customHeight="1">
      <c r="G135" s="26"/>
      <c r="H135" s="26"/>
      <c r="I135" s="26"/>
      <c r="J135" s="26"/>
      <c r="K135" s="26"/>
      <c r="L135" s="26"/>
      <c r="M135" s="26"/>
      <c r="N135" s="26"/>
      <c r="P135" s="202">
        <v>120</v>
      </c>
      <c r="Q135" s="210">
        <v>10</v>
      </c>
      <c r="R135" s="205" t="s">
        <v>110</v>
      </c>
      <c r="S135" s="206" t="s">
        <v>85</v>
      </c>
      <c r="T135" s="211">
        <v>0</v>
      </c>
      <c r="U135" s="211">
        <v>0</v>
      </c>
      <c r="V135" s="213">
        <v>0</v>
      </c>
      <c r="W135" s="213">
        <v>0</v>
      </c>
    </row>
    <row r="136" spans="1:23" s="200" customFormat="1" ht="15" customHeight="1">
      <c r="A136" s="196" t="s">
        <v>104</v>
      </c>
      <c r="B136" s="196" t="s">
        <v>2317</v>
      </c>
      <c r="C136" s="197"/>
      <c r="D136" s="323" t="s">
        <v>2005</v>
      </c>
      <c r="E136" s="323"/>
      <c r="F136" s="324"/>
      <c r="G136" s="325">
        <f>SUM(G132:G135)</f>
        <v>0</v>
      </c>
      <c r="H136" s="325">
        <f t="shared" ref="H136:N136" si="27">SUM(H132:H135)</f>
        <v>0</v>
      </c>
      <c r="I136" s="325">
        <f t="shared" si="27"/>
        <v>0</v>
      </c>
      <c r="J136" s="325">
        <f t="shared" si="27"/>
        <v>0</v>
      </c>
      <c r="K136" s="325">
        <f t="shared" si="27"/>
        <v>0</v>
      </c>
      <c r="L136" s="325">
        <f t="shared" si="27"/>
        <v>0</v>
      </c>
      <c r="M136" s="325">
        <f t="shared" si="27"/>
        <v>0</v>
      </c>
      <c r="N136" s="325">
        <f t="shared" si="27"/>
        <v>0</v>
      </c>
      <c r="O136" s="287"/>
      <c r="P136" s="202">
        <v>121</v>
      </c>
      <c r="Q136" s="210">
        <v>10</v>
      </c>
      <c r="R136" s="205" t="s">
        <v>111</v>
      </c>
      <c r="S136" s="206" t="s">
        <v>87</v>
      </c>
      <c r="T136" s="211">
        <v>75</v>
      </c>
      <c r="U136" s="211">
        <v>10.36</v>
      </c>
      <c r="V136" s="213">
        <v>69.19</v>
      </c>
      <c r="W136" s="213">
        <v>92.25</v>
      </c>
    </row>
    <row r="137" spans="1:23" ht="15" customHeight="1">
      <c r="G137" s="26"/>
      <c r="H137" s="26"/>
      <c r="I137" s="26"/>
      <c r="J137" s="26"/>
      <c r="K137" s="26"/>
      <c r="L137" s="26"/>
      <c r="M137" s="26"/>
      <c r="N137" s="26"/>
      <c r="P137" s="202">
        <v>122</v>
      </c>
      <c r="Q137" s="210">
        <v>10</v>
      </c>
      <c r="R137" s="205" t="s">
        <v>112</v>
      </c>
      <c r="S137" s="206" t="s">
        <v>101</v>
      </c>
      <c r="T137" s="211">
        <v>0</v>
      </c>
      <c r="U137" s="211">
        <v>0</v>
      </c>
      <c r="V137" s="213">
        <v>0</v>
      </c>
      <c r="W137" s="213">
        <v>0</v>
      </c>
    </row>
    <row r="138" spans="1:23" s="43" customFormat="1" ht="15" customHeight="1" thickBot="1">
      <c r="A138" s="2"/>
      <c r="B138" s="2" t="s">
        <v>2317</v>
      </c>
      <c r="C138" s="3"/>
      <c r="D138" s="68" t="s">
        <v>1978</v>
      </c>
      <c r="E138" s="326"/>
      <c r="F138" s="327"/>
      <c r="G138" s="328">
        <f>+G136+G130</f>
        <v>12137</v>
      </c>
      <c r="H138" s="328">
        <f t="shared" ref="H138:N138" si="28">+H136+H130</f>
        <v>13660</v>
      </c>
      <c r="I138" s="328">
        <f t="shared" si="28"/>
        <v>486</v>
      </c>
      <c r="J138" s="328">
        <f t="shared" si="28"/>
        <v>-11783</v>
      </c>
      <c r="K138" s="328">
        <f t="shared" si="28"/>
        <v>0</v>
      </c>
      <c r="L138" s="328">
        <f t="shared" si="28"/>
        <v>14935</v>
      </c>
      <c r="M138" s="328">
        <f t="shared" si="28"/>
        <v>10270</v>
      </c>
      <c r="N138" s="328">
        <f t="shared" si="28"/>
        <v>0</v>
      </c>
      <c r="O138" s="288"/>
      <c r="P138" s="202">
        <v>123</v>
      </c>
      <c r="Q138" s="210">
        <v>10</v>
      </c>
      <c r="R138" s="205" t="s">
        <v>113</v>
      </c>
      <c r="S138" s="206" t="s">
        <v>103</v>
      </c>
      <c r="T138" s="211">
        <v>0</v>
      </c>
      <c r="U138" s="211">
        <v>0</v>
      </c>
      <c r="V138" s="213">
        <v>0</v>
      </c>
      <c r="W138" s="213">
        <v>0</v>
      </c>
    </row>
    <row r="139" spans="1:23" s="45" customFormat="1" ht="15" customHeight="1" thickTop="1">
      <c r="A139" s="2"/>
      <c r="B139" s="2"/>
      <c r="C139" s="3"/>
      <c r="D139" s="47"/>
      <c r="E139" s="15"/>
      <c r="F139" s="105"/>
      <c r="G139" s="26"/>
      <c r="H139" s="26"/>
      <c r="I139" s="26"/>
      <c r="J139" s="26"/>
      <c r="K139" s="26"/>
      <c r="L139" s="26"/>
      <c r="M139" s="26"/>
      <c r="N139" s="26"/>
      <c r="O139" s="275"/>
      <c r="P139" s="202">
        <v>124</v>
      </c>
      <c r="Q139" s="210">
        <v>10</v>
      </c>
      <c r="R139" s="205" t="s">
        <v>2623</v>
      </c>
      <c r="S139" s="206"/>
      <c r="T139" s="211"/>
      <c r="U139" s="211"/>
      <c r="V139" s="213"/>
      <c r="W139" s="213"/>
    </row>
    <row r="140" spans="1:23" s="45" customFormat="1" ht="15" customHeight="1">
      <c r="A140" s="2"/>
      <c r="B140" s="2"/>
      <c r="C140" s="3"/>
      <c r="D140" s="47" t="s">
        <v>1</v>
      </c>
      <c r="E140" s="15"/>
      <c r="F140" s="105"/>
      <c r="G140" s="26"/>
      <c r="H140" s="26"/>
      <c r="I140" s="26"/>
      <c r="J140" s="26"/>
      <c r="K140" s="26"/>
      <c r="L140" s="26"/>
      <c r="M140" s="26"/>
      <c r="N140" s="26"/>
      <c r="O140" s="275"/>
      <c r="P140" s="202">
        <v>125</v>
      </c>
      <c r="Q140" s="210">
        <v>10</v>
      </c>
      <c r="R140" s="205" t="s">
        <v>2621</v>
      </c>
      <c r="S140" s="206"/>
      <c r="T140" s="211">
        <v>975</v>
      </c>
      <c r="U140" s="211">
        <v>85.36</v>
      </c>
      <c r="V140" s="213">
        <v>669.19</v>
      </c>
      <c r="W140" s="213">
        <v>0</v>
      </c>
    </row>
    <row r="141" spans="1:23" s="45" customFormat="1" ht="15" customHeight="1">
      <c r="A141" s="2"/>
      <c r="B141" s="2"/>
      <c r="C141" s="3"/>
      <c r="D141" s="47"/>
      <c r="E141" s="15"/>
      <c r="F141" s="105"/>
      <c r="G141" s="26"/>
      <c r="H141" s="26"/>
      <c r="I141" s="26"/>
      <c r="J141" s="26"/>
      <c r="K141" s="26"/>
      <c r="L141" s="26"/>
      <c r="M141" s="26"/>
      <c r="N141" s="26"/>
      <c r="O141" s="275"/>
      <c r="P141" s="202">
        <v>126</v>
      </c>
      <c r="Q141" s="210">
        <v>10</v>
      </c>
      <c r="R141" s="205" t="s">
        <v>104</v>
      </c>
      <c r="S141" s="206"/>
      <c r="T141" s="211"/>
      <c r="U141" s="211"/>
      <c r="V141" s="213"/>
      <c r="W141" s="213"/>
    </row>
    <row r="142" spans="1:23" s="5" customFormat="1" ht="15" customHeight="1">
      <c r="A142" s="2"/>
      <c r="B142" s="2"/>
      <c r="C142" s="3"/>
      <c r="D142" s="47" t="s">
        <v>2006</v>
      </c>
      <c r="E142" s="15"/>
      <c r="F142" s="105"/>
      <c r="G142" s="26"/>
      <c r="H142" s="26"/>
      <c r="I142" s="26"/>
      <c r="J142" s="26"/>
      <c r="K142" s="26"/>
      <c r="L142" s="26"/>
      <c r="M142" s="26"/>
      <c r="N142" s="26"/>
      <c r="O142" s="282"/>
      <c r="P142" s="202">
        <v>127</v>
      </c>
      <c r="Q142" s="210">
        <v>10</v>
      </c>
      <c r="R142" s="205" t="s">
        <v>2624</v>
      </c>
      <c r="S142" s="206"/>
      <c r="T142" s="211"/>
      <c r="U142" s="211"/>
      <c r="V142" s="213"/>
      <c r="W142" s="213"/>
    </row>
    <row r="143" spans="1:23" ht="15" customHeight="1">
      <c r="G143" s="26"/>
      <c r="H143" s="26"/>
      <c r="I143" s="26"/>
      <c r="J143" s="26"/>
      <c r="K143" s="26"/>
      <c r="L143" s="26"/>
      <c r="M143" s="26"/>
      <c r="N143" s="26"/>
      <c r="P143" s="202">
        <v>128</v>
      </c>
      <c r="Q143" s="210">
        <v>10</v>
      </c>
      <c r="R143" s="205" t="s">
        <v>114</v>
      </c>
      <c r="S143" s="206" t="s">
        <v>115</v>
      </c>
      <c r="T143" s="211">
        <v>0</v>
      </c>
      <c r="U143" s="211">
        <v>0</v>
      </c>
      <c r="V143" s="213">
        <v>78</v>
      </c>
      <c r="W143" s="213">
        <v>0</v>
      </c>
    </row>
    <row r="144" spans="1:23" ht="15" customHeight="1">
      <c r="C144" s="3">
        <v>10</v>
      </c>
      <c r="D144" s="15" t="s">
        <v>107</v>
      </c>
      <c r="E144" s="312" t="s">
        <v>79</v>
      </c>
      <c r="G144" s="26">
        <v>1600</v>
      </c>
      <c r="H144" s="26">
        <v>885</v>
      </c>
      <c r="I144" s="26">
        <v>900</v>
      </c>
      <c r="J144" s="26">
        <v>875</v>
      </c>
      <c r="K144" s="26">
        <v>900</v>
      </c>
      <c r="L144" s="26">
        <v>525</v>
      </c>
      <c r="M144" s="26">
        <v>900</v>
      </c>
      <c r="N144" s="26">
        <v>900</v>
      </c>
      <c r="P144" s="202">
        <v>129</v>
      </c>
      <c r="Q144" s="210">
        <v>10</v>
      </c>
      <c r="R144" s="205" t="s">
        <v>116</v>
      </c>
      <c r="S144" s="206" t="s">
        <v>117</v>
      </c>
      <c r="T144" s="211">
        <v>0</v>
      </c>
      <c r="U144" s="211">
        <v>0</v>
      </c>
      <c r="V144" s="213">
        <v>0</v>
      </c>
      <c r="W144" s="213">
        <v>0</v>
      </c>
    </row>
    <row r="145" spans="1:23" ht="15" customHeight="1">
      <c r="C145" s="3">
        <v>10</v>
      </c>
      <c r="D145" s="15" t="s">
        <v>108</v>
      </c>
      <c r="E145" s="312" t="s">
        <v>81</v>
      </c>
      <c r="G145" s="26">
        <v>0</v>
      </c>
      <c r="H145" s="26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v>0</v>
      </c>
      <c r="P145" s="202">
        <v>130</v>
      </c>
      <c r="Q145" s="210">
        <v>10</v>
      </c>
      <c r="R145" s="205" t="s">
        <v>118</v>
      </c>
      <c r="S145" s="206" t="s">
        <v>119</v>
      </c>
      <c r="T145" s="211">
        <v>150</v>
      </c>
      <c r="U145" s="211">
        <v>0</v>
      </c>
      <c r="V145" s="213">
        <v>109.32</v>
      </c>
      <c r="W145" s="213">
        <v>72.88</v>
      </c>
    </row>
    <row r="146" spans="1:23" ht="15" customHeight="1">
      <c r="C146" s="3">
        <v>10</v>
      </c>
      <c r="D146" s="15" t="s">
        <v>109</v>
      </c>
      <c r="E146" s="312" t="s">
        <v>83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P146" s="202">
        <v>131</v>
      </c>
      <c r="Q146" s="210">
        <v>10</v>
      </c>
      <c r="R146" s="205" t="s">
        <v>120</v>
      </c>
      <c r="S146" s="206" t="s">
        <v>121</v>
      </c>
      <c r="T146" s="211">
        <v>200</v>
      </c>
      <c r="U146" s="211">
        <v>0</v>
      </c>
      <c r="V146" s="213">
        <v>0</v>
      </c>
      <c r="W146" s="213">
        <v>0</v>
      </c>
    </row>
    <row r="147" spans="1:23" ht="15" customHeight="1">
      <c r="C147" s="3">
        <v>10</v>
      </c>
      <c r="D147" s="15" t="s">
        <v>110</v>
      </c>
      <c r="E147" s="312" t="s">
        <v>85</v>
      </c>
      <c r="G147" s="26">
        <v>13</v>
      </c>
      <c r="H147" s="26">
        <v>0</v>
      </c>
      <c r="I147" s="26">
        <v>2</v>
      </c>
      <c r="J147" s="26">
        <v>0</v>
      </c>
      <c r="K147" s="26">
        <v>0</v>
      </c>
      <c r="L147" s="26">
        <v>0</v>
      </c>
      <c r="M147" s="26">
        <v>0</v>
      </c>
      <c r="N147" s="26">
        <v>0</v>
      </c>
      <c r="P147" s="202">
        <v>132</v>
      </c>
      <c r="Q147" s="210">
        <v>10</v>
      </c>
      <c r="R147" s="205" t="s">
        <v>122</v>
      </c>
      <c r="S147" s="206" t="s">
        <v>123</v>
      </c>
      <c r="T147" s="211">
        <v>750</v>
      </c>
      <c r="U147" s="211">
        <v>0</v>
      </c>
      <c r="V147" s="213">
        <v>0</v>
      </c>
      <c r="W147" s="213">
        <v>0</v>
      </c>
    </row>
    <row r="148" spans="1:23" ht="15" customHeight="1">
      <c r="C148" s="3">
        <v>10</v>
      </c>
      <c r="D148" s="15" t="s">
        <v>111</v>
      </c>
      <c r="E148" s="312" t="s">
        <v>87</v>
      </c>
      <c r="G148" s="26">
        <v>122</v>
      </c>
      <c r="H148" s="26">
        <v>68</v>
      </c>
      <c r="I148" s="26">
        <v>69</v>
      </c>
      <c r="J148" s="26">
        <v>115</v>
      </c>
      <c r="K148" s="26">
        <v>75</v>
      </c>
      <c r="L148" s="26">
        <v>59</v>
      </c>
      <c r="M148" s="26">
        <v>75</v>
      </c>
      <c r="N148" s="26">
        <v>75</v>
      </c>
      <c r="P148" s="202">
        <v>133</v>
      </c>
      <c r="Q148" s="210">
        <v>10</v>
      </c>
      <c r="R148" s="205" t="s">
        <v>124</v>
      </c>
      <c r="S148" s="206" t="s">
        <v>125</v>
      </c>
      <c r="T148" s="211">
        <v>200</v>
      </c>
      <c r="U148" s="211">
        <v>0</v>
      </c>
      <c r="V148" s="213">
        <v>0</v>
      </c>
      <c r="W148" s="213">
        <v>0</v>
      </c>
    </row>
    <row r="149" spans="1:23" ht="15" customHeight="1">
      <c r="C149" s="3">
        <v>10</v>
      </c>
      <c r="D149" s="15" t="s">
        <v>112</v>
      </c>
      <c r="E149" s="312" t="s">
        <v>101</v>
      </c>
      <c r="G149" s="26">
        <v>0</v>
      </c>
      <c r="H149" s="26">
        <v>0</v>
      </c>
      <c r="I149" s="26">
        <v>0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P149" s="202">
        <v>134</v>
      </c>
      <c r="Q149" s="210">
        <v>10</v>
      </c>
      <c r="R149" s="205" t="s">
        <v>126</v>
      </c>
      <c r="S149" s="206" t="s">
        <v>106</v>
      </c>
      <c r="T149" s="211">
        <v>0</v>
      </c>
      <c r="U149" s="211">
        <v>0</v>
      </c>
      <c r="V149" s="213">
        <v>0</v>
      </c>
      <c r="W149" s="213">
        <v>0</v>
      </c>
    </row>
    <row r="150" spans="1:23" ht="15" customHeight="1">
      <c r="C150" s="3">
        <v>10</v>
      </c>
      <c r="D150" s="15" t="s">
        <v>113</v>
      </c>
      <c r="E150" s="312" t="s">
        <v>103</v>
      </c>
      <c r="G150" s="26">
        <v>0</v>
      </c>
      <c r="H150" s="26">
        <v>0</v>
      </c>
      <c r="I150" s="26">
        <v>0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P150" s="202">
        <v>135</v>
      </c>
      <c r="Q150" s="210">
        <v>10</v>
      </c>
      <c r="R150" s="205" t="s">
        <v>127</v>
      </c>
      <c r="S150" s="206" t="s">
        <v>128</v>
      </c>
      <c r="T150" s="211">
        <v>150</v>
      </c>
      <c r="U150" s="211">
        <v>0</v>
      </c>
      <c r="V150" s="213">
        <v>0</v>
      </c>
      <c r="W150" s="213">
        <v>0</v>
      </c>
    </row>
    <row r="151" spans="1:23" ht="15" customHeight="1">
      <c r="G151" s="26"/>
      <c r="H151" s="26"/>
      <c r="I151" s="26"/>
      <c r="J151" s="26"/>
      <c r="K151" s="26"/>
      <c r="L151" s="26"/>
      <c r="M151" s="26"/>
      <c r="N151" s="26"/>
      <c r="P151" s="202">
        <v>136</v>
      </c>
      <c r="Q151" s="210">
        <v>10</v>
      </c>
      <c r="R151" s="205" t="s">
        <v>129</v>
      </c>
      <c r="S151" s="206" t="s">
        <v>130</v>
      </c>
      <c r="T151" s="211">
        <v>0</v>
      </c>
      <c r="U151" s="211">
        <v>0</v>
      </c>
      <c r="V151" s="213">
        <v>0</v>
      </c>
      <c r="W151" s="213">
        <v>0</v>
      </c>
    </row>
    <row r="152" spans="1:23" s="72" customFormat="1" ht="15" customHeight="1">
      <c r="A152" s="5" t="s">
        <v>2410</v>
      </c>
      <c r="B152" s="5" t="s">
        <v>2317</v>
      </c>
      <c r="C152" s="3"/>
      <c r="D152" s="323" t="s">
        <v>2007</v>
      </c>
      <c r="E152" s="323"/>
      <c r="F152" s="324"/>
      <c r="G152" s="325">
        <f>SUM(G142:G151)</f>
        <v>1735</v>
      </c>
      <c r="H152" s="325">
        <f t="shared" ref="H152:N152" si="29">SUM(H142:H151)</f>
        <v>953</v>
      </c>
      <c r="I152" s="325">
        <f t="shared" si="29"/>
        <v>971</v>
      </c>
      <c r="J152" s="325">
        <f t="shared" si="29"/>
        <v>990</v>
      </c>
      <c r="K152" s="325">
        <f t="shared" si="29"/>
        <v>975</v>
      </c>
      <c r="L152" s="325">
        <f t="shared" si="29"/>
        <v>584</v>
      </c>
      <c r="M152" s="325">
        <f t="shared" si="29"/>
        <v>975</v>
      </c>
      <c r="N152" s="325">
        <f t="shared" si="29"/>
        <v>975</v>
      </c>
      <c r="O152" s="286"/>
      <c r="P152" s="202">
        <v>137</v>
      </c>
      <c r="Q152" s="210">
        <v>10</v>
      </c>
      <c r="R152" s="205" t="s">
        <v>131</v>
      </c>
      <c r="S152" s="206" t="s">
        <v>132</v>
      </c>
      <c r="T152" s="211">
        <v>500</v>
      </c>
      <c r="U152" s="211">
        <v>0</v>
      </c>
      <c r="V152" s="213">
        <v>0</v>
      </c>
      <c r="W152" s="213">
        <v>0</v>
      </c>
    </row>
    <row r="153" spans="1:23" s="5" customFormat="1" ht="15" customHeight="1">
      <c r="A153" s="2"/>
      <c r="B153" s="2"/>
      <c r="C153" s="3"/>
      <c r="D153" s="14"/>
      <c r="E153" s="15"/>
      <c r="F153" s="105"/>
      <c r="G153" s="26"/>
      <c r="H153" s="26"/>
      <c r="I153" s="26"/>
      <c r="J153" s="26"/>
      <c r="K153" s="26"/>
      <c r="L153" s="26"/>
      <c r="M153" s="26"/>
      <c r="N153" s="26"/>
      <c r="O153" s="282"/>
      <c r="P153" s="202">
        <v>138</v>
      </c>
      <c r="Q153" s="210">
        <v>10</v>
      </c>
      <c r="R153" s="205" t="s">
        <v>133</v>
      </c>
      <c r="S153" s="206" t="s">
        <v>134</v>
      </c>
      <c r="T153" s="211">
        <v>0</v>
      </c>
      <c r="U153" s="211">
        <v>0</v>
      </c>
      <c r="V153" s="213">
        <v>0</v>
      </c>
      <c r="W153" s="213">
        <v>0</v>
      </c>
    </row>
    <row r="154" spans="1:23" s="5" customFormat="1" ht="15" customHeight="1">
      <c r="A154" s="2"/>
      <c r="B154" s="2"/>
      <c r="C154" s="3"/>
      <c r="D154" s="47" t="s">
        <v>2008</v>
      </c>
      <c r="E154" s="15"/>
      <c r="F154" s="105"/>
      <c r="G154" s="26"/>
      <c r="H154" s="26"/>
      <c r="I154" s="26"/>
      <c r="J154" s="26"/>
      <c r="K154" s="26"/>
      <c r="L154" s="26"/>
      <c r="M154" s="26"/>
      <c r="N154" s="26"/>
      <c r="O154" s="282"/>
      <c r="P154" s="202">
        <v>139</v>
      </c>
      <c r="Q154" s="210">
        <v>10</v>
      </c>
      <c r="R154" s="205" t="s">
        <v>2623</v>
      </c>
      <c r="S154" s="206"/>
      <c r="T154" s="211"/>
      <c r="U154" s="211"/>
      <c r="V154" s="213"/>
      <c r="W154" s="213"/>
    </row>
    <row r="155" spans="1:23" ht="15" customHeight="1">
      <c r="G155" s="26"/>
      <c r="H155" s="26"/>
      <c r="I155" s="26"/>
      <c r="J155" s="26"/>
      <c r="K155" s="26"/>
      <c r="L155" s="26"/>
      <c r="M155" s="26"/>
      <c r="N155" s="26"/>
      <c r="P155" s="202">
        <v>140</v>
      </c>
      <c r="Q155" s="210">
        <v>10</v>
      </c>
      <c r="R155" s="205" t="s">
        <v>104</v>
      </c>
      <c r="S155" s="206"/>
      <c r="T155" s="211">
        <v>1950</v>
      </c>
      <c r="U155" s="211">
        <v>0</v>
      </c>
      <c r="V155" s="213">
        <v>187.32</v>
      </c>
      <c r="W155" s="213">
        <v>0</v>
      </c>
    </row>
    <row r="156" spans="1:23" ht="15" customHeight="1">
      <c r="C156" s="3">
        <v>10</v>
      </c>
      <c r="D156" s="15" t="s">
        <v>114</v>
      </c>
      <c r="E156" s="312" t="s">
        <v>115</v>
      </c>
      <c r="G156" s="26">
        <v>0</v>
      </c>
      <c r="H156" s="26">
        <v>10</v>
      </c>
      <c r="I156" s="26">
        <v>9</v>
      </c>
      <c r="J156" s="26">
        <v>18</v>
      </c>
      <c r="K156" s="26">
        <v>0</v>
      </c>
      <c r="L156" s="26">
        <v>78</v>
      </c>
      <c r="M156" s="26">
        <v>78</v>
      </c>
      <c r="N156" s="26">
        <v>100</v>
      </c>
      <c r="O156" s="285"/>
      <c r="P156" s="202">
        <v>141</v>
      </c>
      <c r="Q156" s="210">
        <v>10</v>
      </c>
      <c r="R156" s="205" t="s">
        <v>135</v>
      </c>
      <c r="S156" s="206"/>
      <c r="T156" s="211"/>
      <c r="U156" s="211"/>
      <c r="V156" s="213"/>
      <c r="W156" s="213"/>
    </row>
    <row r="157" spans="1:23" ht="15" customHeight="1">
      <c r="C157" s="3">
        <v>10</v>
      </c>
      <c r="D157" s="15" t="s">
        <v>116</v>
      </c>
      <c r="E157" s="312" t="s">
        <v>117</v>
      </c>
      <c r="G157" s="26">
        <v>19</v>
      </c>
      <c r="H157" s="26">
        <v>0</v>
      </c>
      <c r="I157" s="26">
        <v>0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85"/>
      <c r="P157" s="202">
        <v>142</v>
      </c>
      <c r="Q157" s="210">
        <v>10</v>
      </c>
      <c r="R157" s="205" t="s">
        <v>2626</v>
      </c>
      <c r="S157" s="206"/>
      <c r="T157" s="211"/>
      <c r="U157" s="211"/>
      <c r="V157" s="213"/>
      <c r="W157" s="213"/>
    </row>
    <row r="158" spans="1:23" ht="15" customHeight="1">
      <c r="C158" s="3">
        <v>10</v>
      </c>
      <c r="D158" s="15" t="s">
        <v>118</v>
      </c>
      <c r="E158" s="312" t="s">
        <v>119</v>
      </c>
      <c r="G158" s="26">
        <v>42</v>
      </c>
      <c r="H158" s="26">
        <v>41</v>
      </c>
      <c r="I158" s="26">
        <v>67</v>
      </c>
      <c r="J158" s="26">
        <v>206</v>
      </c>
      <c r="K158" s="26">
        <v>150</v>
      </c>
      <c r="L158" s="26">
        <v>109</v>
      </c>
      <c r="M158" s="26">
        <v>150</v>
      </c>
      <c r="N158" s="26">
        <v>150</v>
      </c>
      <c r="O158" s="285"/>
      <c r="P158" s="202">
        <v>143</v>
      </c>
      <c r="Q158" s="210">
        <v>10</v>
      </c>
      <c r="R158" s="205" t="s">
        <v>136</v>
      </c>
      <c r="S158" s="206" t="s">
        <v>137</v>
      </c>
      <c r="T158" s="211">
        <v>20</v>
      </c>
      <c r="U158" s="211">
        <v>0</v>
      </c>
      <c r="V158" s="213">
        <v>2.66</v>
      </c>
      <c r="W158" s="213">
        <v>13.3</v>
      </c>
    </row>
    <row r="159" spans="1:23" ht="15" customHeight="1">
      <c r="C159" s="3">
        <v>10</v>
      </c>
      <c r="D159" s="15" t="s">
        <v>120</v>
      </c>
      <c r="E159" s="312" t="s">
        <v>121</v>
      </c>
      <c r="G159" s="26">
        <v>325</v>
      </c>
      <c r="H159" s="26">
        <v>0</v>
      </c>
      <c r="I159" s="26">
        <v>216</v>
      </c>
      <c r="J159" s="26">
        <v>0</v>
      </c>
      <c r="K159" s="26">
        <v>200</v>
      </c>
      <c r="L159" s="26">
        <v>0</v>
      </c>
      <c r="M159" s="26">
        <v>100</v>
      </c>
      <c r="N159" s="26">
        <v>200</v>
      </c>
      <c r="O159" s="285"/>
      <c r="P159" s="202">
        <v>144</v>
      </c>
      <c r="Q159" s="210">
        <v>10</v>
      </c>
      <c r="R159" s="205" t="s">
        <v>138</v>
      </c>
      <c r="S159" s="206" t="s">
        <v>139</v>
      </c>
      <c r="T159" s="211">
        <v>1500</v>
      </c>
      <c r="U159" s="211">
        <v>8.24</v>
      </c>
      <c r="V159" s="213">
        <v>400.02</v>
      </c>
      <c r="W159" s="213">
        <v>26.67</v>
      </c>
    </row>
    <row r="160" spans="1:23" ht="15" customHeight="1">
      <c r="C160" s="3">
        <v>10</v>
      </c>
      <c r="D160" s="15" t="s">
        <v>122</v>
      </c>
      <c r="E160" s="312" t="s">
        <v>123</v>
      </c>
      <c r="G160" s="26">
        <v>214</v>
      </c>
      <c r="H160" s="26">
        <v>1048</v>
      </c>
      <c r="I160" s="26">
        <v>651</v>
      </c>
      <c r="J160" s="26">
        <v>1791</v>
      </c>
      <c r="K160" s="26">
        <v>750</v>
      </c>
      <c r="L160" s="26">
        <v>0</v>
      </c>
      <c r="M160" s="26">
        <v>200</v>
      </c>
      <c r="N160" s="26">
        <v>750</v>
      </c>
      <c r="O160" s="285"/>
      <c r="P160" s="202">
        <v>145</v>
      </c>
      <c r="Q160" s="210">
        <v>10</v>
      </c>
      <c r="R160" s="205" t="s">
        <v>140</v>
      </c>
      <c r="S160" s="206" t="s">
        <v>141</v>
      </c>
      <c r="T160" s="211">
        <v>0</v>
      </c>
      <c r="U160" s="211">
        <v>0</v>
      </c>
      <c r="V160" s="213">
        <v>0</v>
      </c>
      <c r="W160" s="213">
        <v>0</v>
      </c>
    </row>
    <row r="161" spans="1:23" ht="15" customHeight="1">
      <c r="C161" s="3">
        <v>10</v>
      </c>
      <c r="D161" s="15" t="s">
        <v>124</v>
      </c>
      <c r="E161" s="312" t="s">
        <v>125</v>
      </c>
      <c r="G161" s="26">
        <v>97</v>
      </c>
      <c r="H161" s="26">
        <v>0</v>
      </c>
      <c r="I161" s="26">
        <v>0</v>
      </c>
      <c r="J161" s="26">
        <v>59</v>
      </c>
      <c r="K161" s="26">
        <v>200</v>
      </c>
      <c r="L161" s="26">
        <v>0</v>
      </c>
      <c r="M161" s="26">
        <v>100</v>
      </c>
      <c r="N161" s="26">
        <v>200</v>
      </c>
      <c r="O161" s="285"/>
      <c r="P161" s="202">
        <v>146</v>
      </c>
      <c r="Q161" s="210">
        <v>10</v>
      </c>
      <c r="R161" s="205" t="s">
        <v>142</v>
      </c>
      <c r="S161" s="206" t="s">
        <v>143</v>
      </c>
      <c r="T161" s="211">
        <v>0</v>
      </c>
      <c r="U161" s="211">
        <v>0</v>
      </c>
      <c r="V161" s="213">
        <v>0</v>
      </c>
      <c r="W161" s="213">
        <v>0</v>
      </c>
    </row>
    <row r="162" spans="1:23" ht="15" customHeight="1">
      <c r="C162" s="3">
        <v>10</v>
      </c>
      <c r="D162" s="15" t="s">
        <v>126</v>
      </c>
      <c r="E162" s="312" t="s">
        <v>106</v>
      </c>
      <c r="G162" s="26">
        <v>0</v>
      </c>
      <c r="H162" s="26">
        <v>0</v>
      </c>
      <c r="I162" s="26">
        <v>0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85"/>
      <c r="P162" s="202">
        <v>147</v>
      </c>
      <c r="Q162" s="210">
        <v>10</v>
      </c>
      <c r="R162" s="205" t="s">
        <v>144</v>
      </c>
      <c r="S162" s="206" t="s">
        <v>145</v>
      </c>
      <c r="T162" s="211">
        <v>0</v>
      </c>
      <c r="U162" s="211">
        <v>0</v>
      </c>
      <c r="V162" s="213">
        <v>0</v>
      </c>
      <c r="W162" s="213">
        <v>0</v>
      </c>
    </row>
    <row r="163" spans="1:23" ht="15" customHeight="1">
      <c r="C163" s="3">
        <v>10</v>
      </c>
      <c r="D163" s="15" t="s">
        <v>127</v>
      </c>
      <c r="E163" s="312" t="s">
        <v>128</v>
      </c>
      <c r="G163" s="26">
        <v>88</v>
      </c>
      <c r="H163" s="26">
        <v>0</v>
      </c>
      <c r="I163" s="26">
        <v>0</v>
      </c>
      <c r="J163" s="26">
        <v>0</v>
      </c>
      <c r="K163" s="26">
        <v>150</v>
      </c>
      <c r="L163" s="26">
        <v>0</v>
      </c>
      <c r="M163" s="26">
        <v>100</v>
      </c>
      <c r="N163" s="26">
        <v>150</v>
      </c>
      <c r="O163" s="285"/>
      <c r="P163" s="202">
        <v>148</v>
      </c>
      <c r="Q163" s="210">
        <v>10</v>
      </c>
      <c r="R163" s="205" t="s">
        <v>146</v>
      </c>
      <c r="S163" s="206" t="s">
        <v>147</v>
      </c>
      <c r="T163" s="211">
        <v>0</v>
      </c>
      <c r="U163" s="211">
        <v>0</v>
      </c>
      <c r="V163" s="213">
        <v>0</v>
      </c>
      <c r="W163" s="213">
        <v>0</v>
      </c>
    </row>
    <row r="164" spans="1:23" ht="15" customHeight="1">
      <c r="C164" s="3">
        <v>10</v>
      </c>
      <c r="D164" s="15" t="s">
        <v>129</v>
      </c>
      <c r="E164" s="312" t="s">
        <v>130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85"/>
      <c r="P164" s="202">
        <v>149</v>
      </c>
      <c r="Q164" s="210">
        <v>10</v>
      </c>
      <c r="R164" s="205" t="s">
        <v>148</v>
      </c>
      <c r="S164" s="206" t="s">
        <v>149</v>
      </c>
      <c r="T164" s="211">
        <v>0</v>
      </c>
      <c r="U164" s="211">
        <v>0</v>
      </c>
      <c r="V164" s="213">
        <v>0</v>
      </c>
      <c r="W164" s="213">
        <v>0</v>
      </c>
    </row>
    <row r="165" spans="1:23" ht="15" customHeight="1">
      <c r="C165" s="3">
        <v>10</v>
      </c>
      <c r="D165" s="15" t="s">
        <v>131</v>
      </c>
      <c r="E165" s="312" t="s">
        <v>132</v>
      </c>
      <c r="G165" s="26">
        <v>26</v>
      </c>
      <c r="H165" s="26">
        <v>1200</v>
      </c>
      <c r="I165" s="26">
        <v>0</v>
      </c>
      <c r="J165" s="26">
        <v>739</v>
      </c>
      <c r="K165" s="26">
        <v>500</v>
      </c>
      <c r="L165" s="26">
        <v>0</v>
      </c>
      <c r="M165" s="26">
        <v>200</v>
      </c>
      <c r="N165" s="26">
        <v>500</v>
      </c>
      <c r="O165" s="285"/>
      <c r="P165" s="202">
        <v>150</v>
      </c>
      <c r="Q165" s="210">
        <v>10</v>
      </c>
      <c r="R165" s="205" t="s">
        <v>150</v>
      </c>
      <c r="S165" s="206" t="s">
        <v>151</v>
      </c>
      <c r="T165" s="211">
        <v>6800</v>
      </c>
      <c r="U165" s="211">
        <v>0</v>
      </c>
      <c r="V165" s="213">
        <v>3883.32</v>
      </c>
      <c r="W165" s="213">
        <v>57.11</v>
      </c>
    </row>
    <row r="166" spans="1:23" ht="15" customHeight="1">
      <c r="C166" s="3">
        <v>10</v>
      </c>
      <c r="D166" s="15" t="s">
        <v>133</v>
      </c>
      <c r="E166" s="312" t="s">
        <v>134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85"/>
      <c r="P166" s="202">
        <v>151</v>
      </c>
      <c r="Q166" s="210">
        <v>10</v>
      </c>
      <c r="R166" s="205" t="s">
        <v>152</v>
      </c>
      <c r="S166" s="206" t="s">
        <v>153</v>
      </c>
      <c r="T166" s="211">
        <v>7500</v>
      </c>
      <c r="U166" s="211">
        <v>70.73</v>
      </c>
      <c r="V166" s="213">
        <v>1520.24</v>
      </c>
      <c r="W166" s="213">
        <v>20.27</v>
      </c>
    </row>
    <row r="167" spans="1:23" ht="15" customHeight="1">
      <c r="G167" s="26"/>
      <c r="H167" s="26"/>
      <c r="I167" s="26"/>
      <c r="J167" s="26"/>
      <c r="K167" s="26"/>
      <c r="L167" s="26"/>
      <c r="M167" s="26"/>
      <c r="N167" s="26"/>
      <c r="P167" s="202">
        <v>152</v>
      </c>
      <c r="Q167" s="210">
        <v>10</v>
      </c>
      <c r="R167" s="205" t="s">
        <v>154</v>
      </c>
      <c r="S167" s="206" t="s">
        <v>155</v>
      </c>
      <c r="T167" s="211">
        <v>0</v>
      </c>
      <c r="U167" s="211">
        <v>0</v>
      </c>
      <c r="V167" s="213">
        <v>-180</v>
      </c>
      <c r="W167" s="213">
        <v>0</v>
      </c>
    </row>
    <row r="168" spans="1:23" s="200" customFormat="1" ht="15" customHeight="1">
      <c r="A168" s="196" t="s">
        <v>104</v>
      </c>
      <c r="B168" s="196" t="s">
        <v>2317</v>
      </c>
      <c r="C168" s="75"/>
      <c r="D168" s="323" t="s">
        <v>2008</v>
      </c>
      <c r="E168" s="323"/>
      <c r="F168" s="324"/>
      <c r="G168" s="325">
        <f>SUM(G154:G167)</f>
        <v>811</v>
      </c>
      <c r="H168" s="325">
        <f t="shared" ref="H168:N168" si="30">SUM(H154:H167)</f>
        <v>2299</v>
      </c>
      <c r="I168" s="325">
        <f t="shared" si="30"/>
        <v>943</v>
      </c>
      <c r="J168" s="325">
        <f t="shared" si="30"/>
        <v>2813</v>
      </c>
      <c r="K168" s="325">
        <f t="shared" si="30"/>
        <v>1950</v>
      </c>
      <c r="L168" s="325">
        <f t="shared" si="30"/>
        <v>187</v>
      </c>
      <c r="M168" s="325">
        <f t="shared" si="30"/>
        <v>928</v>
      </c>
      <c r="N168" s="325">
        <f t="shared" si="30"/>
        <v>2050</v>
      </c>
      <c r="O168" s="287"/>
      <c r="P168" s="202">
        <v>153</v>
      </c>
      <c r="Q168" s="210">
        <v>10</v>
      </c>
      <c r="R168" s="205" t="s">
        <v>156</v>
      </c>
      <c r="S168" s="206" t="s">
        <v>157</v>
      </c>
      <c r="T168" s="211">
        <v>100</v>
      </c>
      <c r="U168" s="211">
        <v>0</v>
      </c>
      <c r="V168" s="213">
        <v>23.74</v>
      </c>
      <c r="W168" s="213">
        <v>23.74</v>
      </c>
    </row>
    <row r="169" spans="1:23" s="46" customFormat="1" ht="15" customHeight="1">
      <c r="A169" s="2"/>
      <c r="B169" s="2"/>
      <c r="C169" s="3"/>
      <c r="D169" s="47"/>
      <c r="E169" s="47"/>
      <c r="F169" s="191"/>
      <c r="G169" s="48"/>
      <c r="H169" s="48"/>
      <c r="I169" s="48"/>
      <c r="J169" s="48"/>
      <c r="K169" s="48"/>
      <c r="L169" s="48"/>
      <c r="M169" s="48"/>
      <c r="N169" s="48"/>
      <c r="O169" s="289"/>
      <c r="P169" s="202">
        <v>154</v>
      </c>
      <c r="Q169" s="210">
        <v>10</v>
      </c>
      <c r="R169" s="205" t="s">
        <v>158</v>
      </c>
      <c r="S169" s="206" t="s">
        <v>159</v>
      </c>
      <c r="T169" s="211">
        <v>0</v>
      </c>
      <c r="U169" s="211">
        <v>0</v>
      </c>
      <c r="V169" s="213">
        <v>0</v>
      </c>
      <c r="W169" s="213">
        <v>0</v>
      </c>
    </row>
    <row r="170" spans="1:23" ht="15" customHeight="1">
      <c r="D170" s="47" t="s">
        <v>2009</v>
      </c>
      <c r="G170" s="26"/>
      <c r="H170" s="26"/>
      <c r="I170" s="26"/>
      <c r="J170" s="26"/>
      <c r="K170" s="26"/>
      <c r="L170" s="26"/>
      <c r="M170" s="26"/>
      <c r="N170" s="26"/>
      <c r="P170" s="202">
        <v>155</v>
      </c>
      <c r="Q170" s="210">
        <v>10</v>
      </c>
      <c r="R170" s="205" t="s">
        <v>160</v>
      </c>
      <c r="S170" s="206" t="s">
        <v>229</v>
      </c>
      <c r="T170" s="211">
        <v>0</v>
      </c>
      <c r="U170" s="211">
        <v>0</v>
      </c>
      <c r="V170" s="213">
        <v>0</v>
      </c>
      <c r="W170" s="213">
        <v>0</v>
      </c>
    </row>
    <row r="171" spans="1:23" ht="15" customHeight="1">
      <c r="G171" s="26"/>
      <c r="H171" s="26"/>
      <c r="I171" s="26"/>
      <c r="J171" s="26"/>
      <c r="K171" s="26"/>
      <c r="L171" s="26"/>
      <c r="M171" s="26"/>
      <c r="N171" s="26"/>
      <c r="P171" s="202">
        <v>156</v>
      </c>
      <c r="Q171" s="210">
        <v>10</v>
      </c>
      <c r="R171" s="205" t="s">
        <v>161</v>
      </c>
      <c r="S171" s="206" t="s">
        <v>162</v>
      </c>
      <c r="T171" s="211">
        <v>600</v>
      </c>
      <c r="U171" s="211">
        <v>0</v>
      </c>
      <c r="V171" s="213">
        <v>0</v>
      </c>
      <c r="W171" s="213">
        <v>0</v>
      </c>
    </row>
    <row r="172" spans="1:23" ht="15" customHeight="1">
      <c r="C172" s="3">
        <v>10</v>
      </c>
      <c r="D172" s="15" t="s">
        <v>136</v>
      </c>
      <c r="E172" s="312" t="s">
        <v>137</v>
      </c>
      <c r="G172" s="26">
        <v>20</v>
      </c>
      <c r="H172" s="26">
        <v>3</v>
      </c>
      <c r="I172" s="26">
        <v>3</v>
      </c>
      <c r="J172" s="26">
        <v>8</v>
      </c>
      <c r="K172" s="26">
        <v>20</v>
      </c>
      <c r="L172" s="26">
        <v>3</v>
      </c>
      <c r="M172" s="26">
        <v>3</v>
      </c>
      <c r="N172" s="26">
        <v>20</v>
      </c>
      <c r="O172" s="285"/>
      <c r="P172" s="202">
        <v>157</v>
      </c>
      <c r="Q172" s="210">
        <v>10</v>
      </c>
      <c r="R172" s="205" t="s">
        <v>2623</v>
      </c>
      <c r="S172" s="206"/>
      <c r="T172" s="211"/>
      <c r="U172" s="211"/>
      <c r="V172" s="213"/>
      <c r="W172" s="213"/>
    </row>
    <row r="173" spans="1:23" ht="15" customHeight="1">
      <c r="C173" s="3">
        <v>10</v>
      </c>
      <c r="D173" s="15" t="s">
        <v>138</v>
      </c>
      <c r="E173" s="312" t="s">
        <v>139</v>
      </c>
      <c r="G173" s="26">
        <v>51917</v>
      </c>
      <c r="H173" s="26">
        <v>7996</v>
      </c>
      <c r="I173" s="26">
        <v>15232</v>
      </c>
      <c r="J173" s="26">
        <v>2161</v>
      </c>
      <c r="K173" s="26">
        <v>1500</v>
      </c>
      <c r="L173" s="26">
        <v>392</v>
      </c>
      <c r="M173" s="26">
        <v>6058.24</v>
      </c>
      <c r="N173" s="26">
        <v>1400</v>
      </c>
      <c r="O173" s="285"/>
      <c r="P173" s="202">
        <v>158</v>
      </c>
      <c r="Q173" s="210">
        <v>10</v>
      </c>
      <c r="R173" s="205" t="s">
        <v>135</v>
      </c>
      <c r="S173" s="206"/>
      <c r="T173" s="211">
        <v>16520</v>
      </c>
      <c r="U173" s="211">
        <v>78.97</v>
      </c>
      <c r="V173" s="213">
        <v>5649.98</v>
      </c>
      <c r="W173" s="213">
        <v>0</v>
      </c>
    </row>
    <row r="174" spans="1:23" ht="15" customHeight="1">
      <c r="C174" s="3">
        <v>10</v>
      </c>
      <c r="D174" s="15" t="s">
        <v>140</v>
      </c>
      <c r="E174" s="312" t="s">
        <v>141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85"/>
      <c r="P174" s="202">
        <v>159</v>
      </c>
      <c r="Q174" s="210">
        <v>10</v>
      </c>
      <c r="R174" s="205" t="s">
        <v>163</v>
      </c>
      <c r="S174" s="206"/>
      <c r="T174" s="211"/>
      <c r="U174" s="211"/>
      <c r="V174" s="213"/>
      <c r="W174" s="213"/>
    </row>
    <row r="175" spans="1:23" ht="15" customHeight="1">
      <c r="C175" s="3">
        <v>10</v>
      </c>
      <c r="D175" s="15" t="s">
        <v>142</v>
      </c>
      <c r="E175" s="312" t="s">
        <v>143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85"/>
      <c r="P175" s="202">
        <v>160</v>
      </c>
      <c r="Q175" s="210">
        <v>10</v>
      </c>
      <c r="R175" s="205" t="s">
        <v>2627</v>
      </c>
      <c r="S175" s="206"/>
      <c r="T175" s="211"/>
      <c r="U175" s="211"/>
      <c r="V175" s="213"/>
      <c r="W175" s="213"/>
    </row>
    <row r="176" spans="1:23" ht="15" customHeight="1">
      <c r="C176" s="3">
        <v>10</v>
      </c>
      <c r="D176" s="15" t="s">
        <v>144</v>
      </c>
      <c r="E176" s="312" t="s">
        <v>145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85"/>
      <c r="P176" s="202">
        <v>161</v>
      </c>
      <c r="Q176" s="210">
        <v>10</v>
      </c>
      <c r="R176" s="205" t="s">
        <v>164</v>
      </c>
      <c r="S176" s="206" t="s">
        <v>165</v>
      </c>
      <c r="T176" s="211">
        <v>0</v>
      </c>
      <c r="U176" s="211">
        <v>0</v>
      </c>
      <c r="V176" s="213">
        <v>0</v>
      </c>
      <c r="W176" s="213">
        <v>0</v>
      </c>
    </row>
    <row r="177" spans="1:23" ht="15" customHeight="1">
      <c r="C177" s="3">
        <v>10</v>
      </c>
      <c r="D177" s="15" t="s">
        <v>146</v>
      </c>
      <c r="E177" s="312" t="s">
        <v>147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85"/>
      <c r="P177" s="202">
        <v>162</v>
      </c>
      <c r="Q177" s="210">
        <v>10</v>
      </c>
      <c r="R177" s="205" t="s">
        <v>166</v>
      </c>
      <c r="S177" s="206" t="s">
        <v>167</v>
      </c>
      <c r="T177" s="211">
        <v>0</v>
      </c>
      <c r="U177" s="211">
        <v>0</v>
      </c>
      <c r="V177" s="213">
        <v>0</v>
      </c>
      <c r="W177" s="213">
        <v>0</v>
      </c>
    </row>
    <row r="178" spans="1:23" ht="15" customHeight="1">
      <c r="C178" s="3">
        <v>10</v>
      </c>
      <c r="D178" s="15" t="s">
        <v>148</v>
      </c>
      <c r="E178" s="312" t="s">
        <v>149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85"/>
      <c r="P178" s="202">
        <v>163</v>
      </c>
      <c r="Q178" s="210">
        <v>10</v>
      </c>
      <c r="R178" s="205" t="s">
        <v>168</v>
      </c>
      <c r="S178" s="206" t="s">
        <v>169</v>
      </c>
      <c r="T178" s="211">
        <v>475</v>
      </c>
      <c r="U178" s="211">
        <v>33.79</v>
      </c>
      <c r="V178" s="213">
        <v>285.63</v>
      </c>
      <c r="W178" s="213">
        <v>60.13</v>
      </c>
    </row>
    <row r="179" spans="1:23" ht="15" customHeight="1">
      <c r="C179" s="3">
        <v>10</v>
      </c>
      <c r="D179" s="15" t="s">
        <v>150</v>
      </c>
      <c r="E179" s="312" t="s">
        <v>151</v>
      </c>
      <c r="G179" s="26">
        <v>4522</v>
      </c>
      <c r="H179" s="26">
        <v>5205</v>
      </c>
      <c r="I179" s="26">
        <v>5919</v>
      </c>
      <c r="J179" s="26">
        <v>4986</v>
      </c>
      <c r="K179" s="26">
        <v>6800</v>
      </c>
      <c r="L179" s="26">
        <v>3883</v>
      </c>
      <c r="M179" s="26">
        <v>6000</v>
      </c>
      <c r="N179" s="26">
        <v>6800</v>
      </c>
      <c r="O179" s="285"/>
      <c r="P179" s="202">
        <v>164</v>
      </c>
      <c r="Q179" s="210">
        <v>10</v>
      </c>
      <c r="R179" s="205" t="s">
        <v>170</v>
      </c>
      <c r="S179" s="206" t="s">
        <v>171</v>
      </c>
      <c r="T179" s="211">
        <v>0</v>
      </c>
      <c r="U179" s="211">
        <v>0</v>
      </c>
      <c r="V179" s="213">
        <v>0</v>
      </c>
      <c r="W179" s="213">
        <v>0</v>
      </c>
    </row>
    <row r="180" spans="1:23" ht="15" customHeight="1">
      <c r="C180" s="3">
        <v>10</v>
      </c>
      <c r="D180" s="15" t="s">
        <v>152</v>
      </c>
      <c r="E180" s="312" t="s">
        <v>153</v>
      </c>
      <c r="G180" s="26">
        <v>7611</v>
      </c>
      <c r="H180" s="26">
        <v>8503</v>
      </c>
      <c r="I180" s="26">
        <v>8863</v>
      </c>
      <c r="J180" s="26">
        <v>6256</v>
      </c>
      <c r="K180" s="26">
        <v>7500</v>
      </c>
      <c r="L180" s="26">
        <v>1450</v>
      </c>
      <c r="M180" s="26">
        <v>7000</v>
      </c>
      <c r="N180" s="26">
        <v>7500</v>
      </c>
      <c r="O180" s="285"/>
      <c r="P180" s="202">
        <v>165</v>
      </c>
      <c r="Q180" s="210">
        <v>10</v>
      </c>
      <c r="R180" s="205" t="s">
        <v>172</v>
      </c>
      <c r="S180" s="206" t="s">
        <v>173</v>
      </c>
      <c r="T180" s="211">
        <v>0</v>
      </c>
      <c r="U180" s="211">
        <v>0</v>
      </c>
      <c r="V180" s="213">
        <v>0</v>
      </c>
      <c r="W180" s="213">
        <v>0</v>
      </c>
    </row>
    <row r="181" spans="1:23" ht="15" customHeight="1">
      <c r="C181" s="3">
        <v>10</v>
      </c>
      <c r="D181" s="15" t="s">
        <v>154</v>
      </c>
      <c r="E181" s="312" t="s">
        <v>155</v>
      </c>
      <c r="G181" s="26">
        <v>0</v>
      </c>
      <c r="H181" s="26">
        <v>0</v>
      </c>
      <c r="I181" s="26">
        <v>-531</v>
      </c>
      <c r="J181" s="26">
        <v>0</v>
      </c>
      <c r="K181" s="26">
        <v>0</v>
      </c>
      <c r="L181" s="26">
        <v>-180</v>
      </c>
      <c r="M181" s="26">
        <v>-180</v>
      </c>
      <c r="N181" s="26">
        <v>0</v>
      </c>
      <c r="O181" s="285"/>
      <c r="P181" s="202">
        <v>166</v>
      </c>
      <c r="Q181" s="210">
        <v>10</v>
      </c>
      <c r="R181" s="205" t="s">
        <v>174</v>
      </c>
      <c r="S181" s="206" t="s">
        <v>175</v>
      </c>
      <c r="T181" s="211">
        <v>0</v>
      </c>
      <c r="U181" s="211">
        <v>0</v>
      </c>
      <c r="V181" s="213">
        <v>0</v>
      </c>
      <c r="W181" s="213">
        <v>0</v>
      </c>
    </row>
    <row r="182" spans="1:23" ht="15" customHeight="1">
      <c r="C182" s="3">
        <v>10</v>
      </c>
      <c r="D182" s="15" t="s">
        <v>156</v>
      </c>
      <c r="E182" s="312" t="s">
        <v>157</v>
      </c>
      <c r="G182" s="26">
        <v>2</v>
      </c>
      <c r="H182" s="26">
        <v>63</v>
      </c>
      <c r="I182" s="26">
        <v>61</v>
      </c>
      <c r="J182" s="26">
        <v>41</v>
      </c>
      <c r="K182" s="26">
        <v>100</v>
      </c>
      <c r="L182" s="26">
        <v>24</v>
      </c>
      <c r="M182" s="26">
        <v>100</v>
      </c>
      <c r="N182" s="26">
        <v>100</v>
      </c>
      <c r="O182" s="285"/>
      <c r="P182" s="202">
        <v>167</v>
      </c>
      <c r="Q182" s="210">
        <v>10</v>
      </c>
      <c r="R182" s="205" t="s">
        <v>2623</v>
      </c>
      <c r="S182" s="206"/>
      <c r="T182" s="211"/>
      <c r="U182" s="211"/>
      <c r="V182" s="213"/>
      <c r="W182" s="213"/>
    </row>
    <row r="183" spans="1:23" ht="15" customHeight="1">
      <c r="C183" s="3">
        <v>10</v>
      </c>
      <c r="D183" s="15" t="s">
        <v>158</v>
      </c>
      <c r="E183" s="312" t="s">
        <v>159</v>
      </c>
      <c r="G183" s="26">
        <v>0</v>
      </c>
      <c r="H183" s="26">
        <v>0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85"/>
      <c r="P183" s="202">
        <v>168</v>
      </c>
      <c r="Q183" s="210">
        <v>10</v>
      </c>
      <c r="R183" s="205" t="s">
        <v>163</v>
      </c>
      <c r="S183" s="206"/>
      <c r="T183" s="211">
        <v>475</v>
      </c>
      <c r="U183" s="211">
        <v>33.79</v>
      </c>
      <c r="V183" s="213">
        <v>285.63</v>
      </c>
      <c r="W183" s="213">
        <v>0</v>
      </c>
    </row>
    <row r="184" spans="1:23" ht="15" customHeight="1">
      <c r="C184" s="3">
        <v>10</v>
      </c>
      <c r="D184" s="15" t="s">
        <v>160</v>
      </c>
      <c r="E184" s="312" t="s">
        <v>229</v>
      </c>
      <c r="G184" s="26">
        <v>0</v>
      </c>
      <c r="H184" s="26">
        <v>0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85"/>
      <c r="P184" s="202">
        <v>169</v>
      </c>
      <c r="Q184" s="210">
        <v>10</v>
      </c>
      <c r="R184" s="205" t="s">
        <v>2623</v>
      </c>
      <c r="S184" s="206"/>
      <c r="T184" s="211"/>
      <c r="U184" s="211"/>
      <c r="V184" s="213"/>
      <c r="W184" s="213"/>
    </row>
    <row r="185" spans="1:23" ht="15" customHeight="1">
      <c r="C185" s="3">
        <v>10</v>
      </c>
      <c r="D185" s="15" t="s">
        <v>161</v>
      </c>
      <c r="E185" s="312" t="s">
        <v>162</v>
      </c>
      <c r="G185" s="26">
        <v>1577</v>
      </c>
      <c r="H185" s="26">
        <v>0</v>
      </c>
      <c r="I185" s="26">
        <v>0</v>
      </c>
      <c r="J185" s="26">
        <v>26</v>
      </c>
      <c r="K185" s="26">
        <v>600</v>
      </c>
      <c r="L185" s="26">
        <v>0</v>
      </c>
      <c r="M185" s="26">
        <v>400</v>
      </c>
      <c r="N185" s="26">
        <v>600</v>
      </c>
      <c r="O185" s="285"/>
      <c r="P185" s="202">
        <v>170</v>
      </c>
      <c r="Q185" s="210">
        <v>10</v>
      </c>
      <c r="R185" s="205" t="s">
        <v>1</v>
      </c>
      <c r="S185" s="206"/>
      <c r="T185" s="211">
        <v>19920</v>
      </c>
      <c r="U185" s="211">
        <v>198.12</v>
      </c>
      <c r="V185" s="213">
        <v>6792.12</v>
      </c>
      <c r="W185" s="213">
        <v>34.1</v>
      </c>
    </row>
    <row r="186" spans="1:23" ht="15" customHeight="1">
      <c r="G186" s="26"/>
      <c r="H186" s="26"/>
      <c r="I186" s="26"/>
      <c r="J186" s="26"/>
      <c r="K186" s="26"/>
      <c r="L186" s="26"/>
      <c r="M186" s="26"/>
      <c r="N186" s="26"/>
      <c r="P186" s="202">
        <v>171</v>
      </c>
      <c r="Q186" s="210">
        <v>10</v>
      </c>
      <c r="R186" s="205" t="s">
        <v>2621</v>
      </c>
      <c r="S186" s="206"/>
      <c r="T186" s="211"/>
      <c r="U186" s="211"/>
      <c r="V186" s="213"/>
      <c r="W186" s="213"/>
    </row>
    <row r="187" spans="1:23" s="22" customFormat="1" ht="15" customHeight="1">
      <c r="A187" s="2" t="s">
        <v>135</v>
      </c>
      <c r="B187" s="2" t="s">
        <v>2317</v>
      </c>
      <c r="C187" s="3"/>
      <c r="D187" s="323" t="s">
        <v>2010</v>
      </c>
      <c r="E187" s="323"/>
      <c r="F187" s="324"/>
      <c r="G187" s="325">
        <f>SUM(G170:G186)</f>
        <v>65649</v>
      </c>
      <c r="H187" s="325">
        <f t="shared" ref="H187:N187" si="31">SUM(H170:H186)</f>
        <v>21770</v>
      </c>
      <c r="I187" s="325">
        <f t="shared" si="31"/>
        <v>29547</v>
      </c>
      <c r="J187" s="325">
        <f t="shared" si="31"/>
        <v>13478</v>
      </c>
      <c r="K187" s="325">
        <f t="shared" si="31"/>
        <v>16520</v>
      </c>
      <c r="L187" s="325">
        <f t="shared" si="31"/>
        <v>5572</v>
      </c>
      <c r="M187" s="325">
        <f t="shared" si="31"/>
        <v>19381.239999999998</v>
      </c>
      <c r="N187" s="325">
        <f t="shared" si="31"/>
        <v>16420</v>
      </c>
      <c r="O187" s="290"/>
      <c r="P187" s="202">
        <v>172</v>
      </c>
      <c r="Q187" s="210">
        <v>10</v>
      </c>
      <c r="R187" s="205" t="s">
        <v>2622</v>
      </c>
      <c r="S187" s="206"/>
      <c r="T187" s="211"/>
      <c r="U187" s="211"/>
      <c r="V187" s="213"/>
      <c r="W187" s="213"/>
    </row>
    <row r="188" spans="1:23" s="46" customFormat="1" ht="15" customHeight="1">
      <c r="A188" s="2"/>
      <c r="B188" s="2"/>
      <c r="C188" s="3"/>
      <c r="D188" s="47"/>
      <c r="E188" s="47"/>
      <c r="F188" s="191"/>
      <c r="G188" s="48"/>
      <c r="H188" s="48"/>
      <c r="I188" s="48"/>
      <c r="J188" s="48"/>
      <c r="K188" s="48"/>
      <c r="L188" s="48"/>
      <c r="M188" s="48"/>
      <c r="N188" s="48"/>
      <c r="O188" s="289"/>
      <c r="P188" s="202">
        <v>173</v>
      </c>
      <c r="Q188" s="210">
        <v>10</v>
      </c>
      <c r="R188" s="205" t="s">
        <v>176</v>
      </c>
      <c r="S188" s="206" t="s">
        <v>79</v>
      </c>
      <c r="T188" s="211">
        <v>127213</v>
      </c>
      <c r="U188" s="211">
        <v>10608</v>
      </c>
      <c r="V188" s="213">
        <v>84768</v>
      </c>
      <c r="W188" s="213">
        <v>66.63</v>
      </c>
    </row>
    <row r="189" spans="1:23" ht="15" customHeight="1">
      <c r="D189" s="47" t="s">
        <v>2011</v>
      </c>
      <c r="G189" s="26"/>
      <c r="H189" s="26"/>
      <c r="I189" s="26"/>
      <c r="J189" s="26"/>
      <c r="K189" s="26"/>
      <c r="L189" s="26"/>
      <c r="M189" s="26"/>
      <c r="N189" s="26"/>
      <c r="P189" s="202">
        <v>174</v>
      </c>
      <c r="Q189" s="210">
        <v>10</v>
      </c>
      <c r="R189" s="205" t="s">
        <v>177</v>
      </c>
      <c r="S189" s="206" t="s">
        <v>81</v>
      </c>
      <c r="T189" s="211">
        <v>13318</v>
      </c>
      <c r="U189" s="211">
        <v>1109.8399999999999</v>
      </c>
      <c r="V189" s="213">
        <v>8878.7199999999993</v>
      </c>
      <c r="W189" s="213">
        <v>66.67</v>
      </c>
    </row>
    <row r="190" spans="1:23" ht="15" customHeight="1">
      <c r="G190" s="26"/>
      <c r="H190" s="26"/>
      <c r="I190" s="26"/>
      <c r="J190" s="26"/>
      <c r="K190" s="26"/>
      <c r="L190" s="26"/>
      <c r="M190" s="26"/>
      <c r="N190" s="26"/>
      <c r="P190" s="202">
        <v>175</v>
      </c>
      <c r="Q190" s="210">
        <v>10</v>
      </c>
      <c r="R190" s="205" t="s">
        <v>178</v>
      </c>
      <c r="S190" s="206" t="s">
        <v>83</v>
      </c>
      <c r="T190" s="211">
        <v>0</v>
      </c>
      <c r="U190" s="211">
        <v>0</v>
      </c>
      <c r="V190" s="213">
        <v>0</v>
      </c>
      <c r="W190" s="213">
        <v>0</v>
      </c>
    </row>
    <row r="191" spans="1:23" ht="15" customHeight="1">
      <c r="C191" s="3">
        <v>10</v>
      </c>
      <c r="D191" s="15" t="s">
        <v>164</v>
      </c>
      <c r="E191" s="312" t="s">
        <v>165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85"/>
      <c r="P191" s="202">
        <v>176</v>
      </c>
      <c r="Q191" s="210">
        <v>10</v>
      </c>
      <c r="R191" s="205" t="s">
        <v>179</v>
      </c>
      <c r="S191" s="206" t="s">
        <v>85</v>
      </c>
      <c r="T191" s="211">
        <v>551</v>
      </c>
      <c r="U191" s="211">
        <v>0</v>
      </c>
      <c r="V191" s="213">
        <v>480.24</v>
      </c>
      <c r="W191" s="213">
        <v>87.16</v>
      </c>
    </row>
    <row r="192" spans="1:23" ht="15" customHeight="1">
      <c r="C192" s="3">
        <v>10</v>
      </c>
      <c r="D192" s="15" t="s">
        <v>166</v>
      </c>
      <c r="E192" s="312" t="s">
        <v>167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85"/>
      <c r="P192" s="202">
        <v>177</v>
      </c>
      <c r="Q192" s="210">
        <v>10</v>
      </c>
      <c r="R192" s="205" t="s">
        <v>180</v>
      </c>
      <c r="S192" s="206" t="s">
        <v>87</v>
      </c>
      <c r="T192" s="211">
        <v>9620</v>
      </c>
      <c r="U192" s="211">
        <v>776.34</v>
      </c>
      <c r="V192" s="213">
        <v>6226.72</v>
      </c>
      <c r="W192" s="213">
        <v>64.73</v>
      </c>
    </row>
    <row r="193" spans="1:23" ht="15" customHeight="1">
      <c r="C193" s="3">
        <v>10</v>
      </c>
      <c r="D193" s="15" t="s">
        <v>168</v>
      </c>
      <c r="E193" s="312" t="s">
        <v>169</v>
      </c>
      <c r="G193" s="26">
        <v>275</v>
      </c>
      <c r="H193" s="26">
        <v>435</v>
      </c>
      <c r="I193" s="26">
        <v>492</v>
      </c>
      <c r="J193" s="26">
        <v>488</v>
      </c>
      <c r="K193" s="26">
        <v>475</v>
      </c>
      <c r="L193" s="26">
        <v>252</v>
      </c>
      <c r="M193" s="26">
        <v>400</v>
      </c>
      <c r="N193" s="26">
        <v>475</v>
      </c>
      <c r="O193" s="285"/>
      <c r="P193" s="202">
        <v>178</v>
      </c>
      <c r="Q193" s="210">
        <v>10</v>
      </c>
      <c r="R193" s="205" t="s">
        <v>181</v>
      </c>
      <c r="S193" s="206" t="s">
        <v>89</v>
      </c>
      <c r="T193" s="211">
        <v>20430</v>
      </c>
      <c r="U193" s="211">
        <v>1739.76</v>
      </c>
      <c r="V193" s="213">
        <v>13944.82</v>
      </c>
      <c r="W193" s="213">
        <v>68.260000000000005</v>
      </c>
    </row>
    <row r="194" spans="1:23" ht="15" customHeight="1">
      <c r="C194" s="3">
        <v>10</v>
      </c>
      <c r="D194" s="15" t="s">
        <v>170</v>
      </c>
      <c r="E194" s="312" t="s">
        <v>171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85"/>
      <c r="P194" s="202">
        <v>179</v>
      </c>
      <c r="Q194" s="210">
        <v>10</v>
      </c>
      <c r="R194" s="205" t="s">
        <v>182</v>
      </c>
      <c r="S194" s="206" t="s">
        <v>91</v>
      </c>
      <c r="T194" s="211">
        <v>0</v>
      </c>
      <c r="U194" s="211">
        <v>0</v>
      </c>
      <c r="V194" s="213">
        <v>0</v>
      </c>
      <c r="W194" s="213">
        <v>0</v>
      </c>
    </row>
    <row r="195" spans="1:23" ht="15" customHeight="1">
      <c r="C195" s="3">
        <v>10</v>
      </c>
      <c r="D195" s="15" t="s">
        <v>172</v>
      </c>
      <c r="E195" s="312" t="s">
        <v>173</v>
      </c>
      <c r="G195" s="26">
        <v>0</v>
      </c>
      <c r="H195" s="26">
        <v>0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85"/>
      <c r="P195" s="202">
        <v>180</v>
      </c>
      <c r="Q195" s="210">
        <v>10</v>
      </c>
      <c r="R195" s="205" t="s">
        <v>183</v>
      </c>
      <c r="S195" s="206" t="s">
        <v>93</v>
      </c>
      <c r="T195" s="211">
        <v>0</v>
      </c>
      <c r="U195" s="211">
        <v>0</v>
      </c>
      <c r="V195" s="213">
        <v>0</v>
      </c>
      <c r="W195" s="213">
        <v>0</v>
      </c>
    </row>
    <row r="196" spans="1:23" ht="15" customHeight="1">
      <c r="C196" s="3">
        <v>10</v>
      </c>
      <c r="D196" s="15" t="s">
        <v>174</v>
      </c>
      <c r="E196" s="312" t="s">
        <v>175</v>
      </c>
      <c r="G196" s="26">
        <v>0</v>
      </c>
      <c r="H196" s="26">
        <v>0</v>
      </c>
      <c r="I196" s="26">
        <v>0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85"/>
      <c r="P196" s="202">
        <v>181</v>
      </c>
      <c r="Q196" s="210">
        <v>10</v>
      </c>
      <c r="R196" s="205" t="s">
        <v>184</v>
      </c>
      <c r="S196" s="206" t="s">
        <v>95</v>
      </c>
      <c r="T196" s="211">
        <v>0</v>
      </c>
      <c r="U196" s="211">
        <v>0</v>
      </c>
      <c r="V196" s="213">
        <v>0</v>
      </c>
      <c r="W196" s="213">
        <v>0</v>
      </c>
    </row>
    <row r="197" spans="1:23" ht="15" customHeight="1">
      <c r="G197" s="26"/>
      <c r="H197" s="26"/>
      <c r="I197" s="26"/>
      <c r="J197" s="26"/>
      <c r="K197" s="26"/>
      <c r="L197" s="26"/>
      <c r="M197" s="26"/>
      <c r="N197" s="26"/>
      <c r="P197" s="202">
        <v>182</v>
      </c>
      <c r="Q197" s="210">
        <v>10</v>
      </c>
      <c r="R197" s="205" t="s">
        <v>185</v>
      </c>
      <c r="S197" s="206" t="s">
        <v>97</v>
      </c>
      <c r="T197" s="211">
        <v>760</v>
      </c>
      <c r="U197" s="211">
        <v>72</v>
      </c>
      <c r="V197" s="213">
        <v>564</v>
      </c>
      <c r="W197" s="213">
        <v>74.209999999999994</v>
      </c>
    </row>
    <row r="198" spans="1:23" s="23" customFormat="1" ht="15" customHeight="1">
      <c r="A198" s="2" t="s">
        <v>163</v>
      </c>
      <c r="B198" s="2" t="s">
        <v>2317</v>
      </c>
      <c r="C198" s="3"/>
      <c r="D198" s="323" t="s">
        <v>2012</v>
      </c>
      <c r="E198" s="323"/>
      <c r="F198" s="324"/>
      <c r="G198" s="325">
        <f>SUM(G189:G197)</f>
        <v>275</v>
      </c>
      <c r="H198" s="325">
        <f t="shared" ref="H198:N198" si="32">SUM(H189:H197)</f>
        <v>435</v>
      </c>
      <c r="I198" s="325">
        <f t="shared" si="32"/>
        <v>492</v>
      </c>
      <c r="J198" s="325">
        <f t="shared" si="32"/>
        <v>488</v>
      </c>
      <c r="K198" s="325">
        <f t="shared" si="32"/>
        <v>475</v>
      </c>
      <c r="L198" s="325">
        <f t="shared" si="32"/>
        <v>252</v>
      </c>
      <c r="M198" s="325">
        <f t="shared" si="32"/>
        <v>400</v>
      </c>
      <c r="N198" s="325">
        <f t="shared" si="32"/>
        <v>475</v>
      </c>
      <c r="O198" s="291"/>
      <c r="P198" s="202">
        <v>183</v>
      </c>
      <c r="Q198" s="210">
        <v>10</v>
      </c>
      <c r="R198" s="205" t="s">
        <v>186</v>
      </c>
      <c r="S198" s="206" t="s">
        <v>99</v>
      </c>
      <c r="T198" s="211">
        <v>118</v>
      </c>
      <c r="U198" s="211">
        <v>0</v>
      </c>
      <c r="V198" s="213">
        <v>114.48</v>
      </c>
      <c r="W198" s="213">
        <v>97.02</v>
      </c>
    </row>
    <row r="199" spans="1:23" ht="15" customHeight="1">
      <c r="G199" s="26"/>
      <c r="H199" s="26"/>
      <c r="I199" s="26"/>
      <c r="J199" s="26"/>
      <c r="K199" s="26"/>
      <c r="L199" s="26"/>
      <c r="M199" s="26"/>
      <c r="N199" s="26"/>
      <c r="P199" s="202">
        <v>184</v>
      </c>
      <c r="Q199" s="210">
        <v>10</v>
      </c>
      <c r="R199" s="205" t="s">
        <v>187</v>
      </c>
      <c r="S199" s="206" t="s">
        <v>101</v>
      </c>
      <c r="T199" s="211">
        <v>0</v>
      </c>
      <c r="U199" s="211">
        <v>0</v>
      </c>
      <c r="V199" s="213">
        <v>0</v>
      </c>
      <c r="W199" s="213">
        <v>0</v>
      </c>
    </row>
    <row r="200" spans="1:23" s="43" customFormat="1" ht="15" customHeight="1" thickBot="1">
      <c r="A200" s="2"/>
      <c r="B200" s="2" t="s">
        <v>2317</v>
      </c>
      <c r="C200" s="3"/>
      <c r="D200" s="68" t="s">
        <v>1979</v>
      </c>
      <c r="E200" s="326"/>
      <c r="F200" s="327"/>
      <c r="G200" s="328">
        <f>+G198+G187+G168+G152</f>
        <v>68470</v>
      </c>
      <c r="H200" s="328">
        <f t="shared" ref="H200:N200" si="33">+H198+H187+H168+H152</f>
        <v>25457</v>
      </c>
      <c r="I200" s="328">
        <f t="shared" si="33"/>
        <v>31953</v>
      </c>
      <c r="J200" s="328">
        <f t="shared" si="33"/>
        <v>17769</v>
      </c>
      <c r="K200" s="328">
        <f t="shared" si="33"/>
        <v>19920</v>
      </c>
      <c r="L200" s="328">
        <f t="shared" si="33"/>
        <v>6595</v>
      </c>
      <c r="M200" s="328">
        <f t="shared" si="33"/>
        <v>21684.239999999998</v>
      </c>
      <c r="N200" s="328">
        <f t="shared" si="33"/>
        <v>19920</v>
      </c>
      <c r="O200" s="288"/>
      <c r="P200" s="202">
        <v>185</v>
      </c>
      <c r="Q200" s="210">
        <v>10</v>
      </c>
      <c r="R200" s="205" t="s">
        <v>188</v>
      </c>
      <c r="S200" s="206" t="s">
        <v>103</v>
      </c>
      <c r="T200" s="211">
        <v>0</v>
      </c>
      <c r="U200" s="211">
        <v>0</v>
      </c>
      <c r="V200" s="213">
        <v>0</v>
      </c>
      <c r="W200" s="213">
        <v>0</v>
      </c>
    </row>
    <row r="201" spans="1:23" s="45" customFormat="1" ht="15" customHeight="1" thickTop="1">
      <c r="A201" s="2"/>
      <c r="B201" s="2"/>
      <c r="C201" s="3"/>
      <c r="D201" s="47"/>
      <c r="E201" s="15"/>
      <c r="F201" s="105"/>
      <c r="G201" s="26"/>
      <c r="H201" s="26"/>
      <c r="I201" s="26"/>
      <c r="J201" s="26"/>
      <c r="K201" s="26"/>
      <c r="L201" s="26"/>
      <c r="M201" s="26"/>
      <c r="N201" s="26"/>
      <c r="O201" s="275"/>
      <c r="P201" s="202">
        <v>186</v>
      </c>
      <c r="Q201" s="210">
        <v>10</v>
      </c>
      <c r="R201" s="205" t="s">
        <v>2623</v>
      </c>
      <c r="S201" s="206"/>
      <c r="T201" s="211"/>
      <c r="U201" s="211"/>
      <c r="V201" s="213"/>
      <c r="W201" s="213"/>
    </row>
    <row r="202" spans="1:23" s="45" customFormat="1" ht="15" customHeight="1">
      <c r="A202" s="2"/>
      <c r="B202" s="2"/>
      <c r="C202" s="3"/>
      <c r="D202" s="47" t="s">
        <v>2</v>
      </c>
      <c r="E202" s="15"/>
      <c r="F202" s="105"/>
      <c r="G202" s="26"/>
      <c r="H202" s="26"/>
      <c r="I202" s="26"/>
      <c r="J202" s="26"/>
      <c r="K202" s="26"/>
      <c r="L202" s="26"/>
      <c r="M202" s="26"/>
      <c r="N202" s="26"/>
      <c r="O202" s="275"/>
      <c r="P202" s="202">
        <v>187</v>
      </c>
      <c r="Q202" s="210">
        <v>10</v>
      </c>
      <c r="R202" s="205" t="s">
        <v>2621</v>
      </c>
      <c r="S202" s="206"/>
      <c r="T202" s="211">
        <v>172010</v>
      </c>
      <c r="U202" s="211">
        <v>14305.94</v>
      </c>
      <c r="V202" s="213">
        <v>114976.98</v>
      </c>
      <c r="W202" s="213">
        <v>0</v>
      </c>
    </row>
    <row r="203" spans="1:23" s="45" customFormat="1" ht="15" customHeight="1">
      <c r="A203" s="2"/>
      <c r="B203" s="2"/>
      <c r="C203" s="3"/>
      <c r="D203" s="47"/>
      <c r="E203" s="15"/>
      <c r="F203" s="105"/>
      <c r="G203" s="26"/>
      <c r="H203" s="26"/>
      <c r="I203" s="26"/>
      <c r="J203" s="26"/>
      <c r="K203" s="26"/>
      <c r="L203" s="26"/>
      <c r="M203" s="26"/>
      <c r="N203" s="26"/>
      <c r="O203" s="275"/>
      <c r="P203" s="202">
        <v>188</v>
      </c>
      <c r="Q203" s="210">
        <v>10</v>
      </c>
      <c r="R203" s="205" t="s">
        <v>104</v>
      </c>
      <c r="S203" s="206"/>
      <c r="T203" s="211"/>
      <c r="U203" s="211"/>
      <c r="V203" s="213"/>
      <c r="W203" s="213"/>
    </row>
    <row r="204" spans="1:23" s="5" customFormat="1" ht="15" customHeight="1">
      <c r="A204" s="2"/>
      <c r="B204" s="2"/>
      <c r="C204" s="3"/>
      <c r="D204" s="47" t="s">
        <v>2013</v>
      </c>
      <c r="E204" s="15"/>
      <c r="F204" s="105"/>
      <c r="G204" s="26"/>
      <c r="H204" s="26"/>
      <c r="I204" s="26"/>
      <c r="J204" s="26"/>
      <c r="K204" s="26"/>
      <c r="L204" s="26"/>
      <c r="M204" s="26"/>
      <c r="N204" s="26"/>
      <c r="O204" s="282"/>
      <c r="P204" s="202">
        <v>189</v>
      </c>
      <c r="Q204" s="210">
        <v>10</v>
      </c>
      <c r="R204" s="205" t="s">
        <v>2624</v>
      </c>
      <c r="S204" s="206"/>
      <c r="T204" s="211"/>
      <c r="U204" s="211"/>
      <c r="V204" s="213"/>
      <c r="W204" s="213"/>
    </row>
    <row r="205" spans="1:23" ht="15" customHeight="1">
      <c r="G205" s="26"/>
      <c r="H205" s="26"/>
      <c r="I205" s="26"/>
      <c r="J205" s="26"/>
      <c r="K205" s="26"/>
      <c r="L205" s="26"/>
      <c r="M205" s="26"/>
      <c r="N205" s="26"/>
      <c r="P205" s="202">
        <v>190</v>
      </c>
      <c r="Q205" s="210">
        <v>10</v>
      </c>
      <c r="R205" s="205" t="s">
        <v>189</v>
      </c>
      <c r="S205" s="206" t="s">
        <v>115</v>
      </c>
      <c r="T205" s="211">
        <v>450</v>
      </c>
      <c r="U205" s="211">
        <v>146.49</v>
      </c>
      <c r="V205" s="213">
        <v>961.49</v>
      </c>
      <c r="W205" s="213">
        <v>213.66</v>
      </c>
    </row>
    <row r="206" spans="1:23" ht="15" customHeight="1">
      <c r="C206" s="3">
        <v>10</v>
      </c>
      <c r="D206" s="15" t="s">
        <v>176</v>
      </c>
      <c r="E206" s="312" t="s">
        <v>79</v>
      </c>
      <c r="G206" s="26">
        <v>140188</v>
      </c>
      <c r="H206" s="26">
        <v>138269</v>
      </c>
      <c r="I206" s="26">
        <v>120652</v>
      </c>
      <c r="J206" s="26">
        <v>122952</v>
      </c>
      <c r="K206" s="26">
        <v>127213</v>
      </c>
      <c r="L206" s="26">
        <v>74160</v>
      </c>
      <c r="M206" s="26">
        <f>95376*1.33</f>
        <v>126850.08</v>
      </c>
      <c r="N206" s="26">
        <v>135000</v>
      </c>
      <c r="P206" s="202">
        <v>191</v>
      </c>
      <c r="Q206" s="210">
        <v>10</v>
      </c>
      <c r="R206" s="205" t="s">
        <v>190</v>
      </c>
      <c r="S206" s="206" t="s">
        <v>117</v>
      </c>
      <c r="T206" s="211">
        <v>100</v>
      </c>
      <c r="U206" s="211">
        <v>0</v>
      </c>
      <c r="V206" s="213">
        <v>0</v>
      </c>
      <c r="W206" s="213">
        <v>0</v>
      </c>
    </row>
    <row r="207" spans="1:23" ht="15" customHeight="1">
      <c r="C207" s="3">
        <v>10</v>
      </c>
      <c r="D207" s="15" t="s">
        <v>177</v>
      </c>
      <c r="E207" s="312" t="s">
        <v>81</v>
      </c>
      <c r="G207" s="26">
        <v>16543</v>
      </c>
      <c r="H207" s="26">
        <v>14983</v>
      </c>
      <c r="I207" s="26">
        <v>13318</v>
      </c>
      <c r="J207" s="26">
        <v>13318</v>
      </c>
      <c r="K207" s="26">
        <v>13318</v>
      </c>
      <c r="L207" s="26">
        <v>7769</v>
      </c>
      <c r="M207" s="26">
        <f>9986*1.33</f>
        <v>13281.380000000001</v>
      </c>
      <c r="N207" s="26">
        <v>14000</v>
      </c>
      <c r="P207" s="202">
        <v>192</v>
      </c>
      <c r="Q207" s="210">
        <v>10</v>
      </c>
      <c r="R207" s="205" t="s">
        <v>191</v>
      </c>
      <c r="S207" s="206" t="s">
        <v>119</v>
      </c>
      <c r="T207" s="211">
        <v>100</v>
      </c>
      <c r="U207" s="211">
        <v>0</v>
      </c>
      <c r="V207" s="213">
        <v>42.54</v>
      </c>
      <c r="W207" s="213">
        <v>42.54</v>
      </c>
    </row>
    <row r="208" spans="1:23" ht="15" customHeight="1">
      <c r="C208" s="3">
        <v>10</v>
      </c>
      <c r="D208" s="15" t="s">
        <v>178</v>
      </c>
      <c r="E208" s="312" t="s">
        <v>83</v>
      </c>
      <c r="G208" s="26">
        <v>0</v>
      </c>
      <c r="H208" s="26">
        <v>90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P208" s="202">
        <v>193</v>
      </c>
      <c r="Q208" s="210">
        <v>10</v>
      </c>
      <c r="R208" s="205" t="s">
        <v>192</v>
      </c>
      <c r="S208" s="206" t="s">
        <v>121</v>
      </c>
      <c r="T208" s="211">
        <v>100</v>
      </c>
      <c r="U208" s="211">
        <v>0</v>
      </c>
      <c r="V208" s="213">
        <v>0</v>
      </c>
      <c r="W208" s="213">
        <v>0</v>
      </c>
    </row>
    <row r="209" spans="1:23" ht="15" customHeight="1">
      <c r="C209" s="3">
        <v>10</v>
      </c>
      <c r="D209" s="15" t="s">
        <v>179</v>
      </c>
      <c r="E209" s="312" t="s">
        <v>85</v>
      </c>
      <c r="G209" s="26">
        <v>198</v>
      </c>
      <c r="H209" s="26">
        <v>99</v>
      </c>
      <c r="I209" s="26">
        <v>378</v>
      </c>
      <c r="J209" s="26">
        <v>144</v>
      </c>
      <c r="K209" s="26">
        <v>551</v>
      </c>
      <c r="L209" s="26">
        <v>480</v>
      </c>
      <c r="M209" s="26">
        <f>480*1.33</f>
        <v>638.40000000000009</v>
      </c>
      <c r="N209" s="26">
        <v>638</v>
      </c>
      <c r="P209" s="202">
        <v>194</v>
      </c>
      <c r="Q209" s="210">
        <v>10</v>
      </c>
      <c r="R209" s="205" t="s">
        <v>193</v>
      </c>
      <c r="S209" s="206" t="s">
        <v>123</v>
      </c>
      <c r="T209" s="211">
        <v>200</v>
      </c>
      <c r="U209" s="211">
        <v>0</v>
      </c>
      <c r="V209" s="213">
        <v>38.5</v>
      </c>
      <c r="W209" s="213">
        <v>19.25</v>
      </c>
    </row>
    <row r="210" spans="1:23" ht="15" customHeight="1">
      <c r="C210" s="3">
        <v>10</v>
      </c>
      <c r="D210" s="15" t="s">
        <v>180</v>
      </c>
      <c r="E210" s="312" t="s">
        <v>87</v>
      </c>
      <c r="G210" s="26">
        <v>10404</v>
      </c>
      <c r="H210" s="26">
        <v>10246</v>
      </c>
      <c r="I210" s="26">
        <v>8929</v>
      </c>
      <c r="J210" s="26">
        <v>9044</v>
      </c>
      <c r="K210" s="26">
        <v>9620</v>
      </c>
      <c r="L210" s="26">
        <v>5450</v>
      </c>
      <c r="M210" s="26">
        <f>7003*1.33</f>
        <v>9313.99</v>
      </c>
      <c r="N210" s="26">
        <v>9332</v>
      </c>
      <c r="P210" s="202">
        <v>195</v>
      </c>
      <c r="Q210" s="210">
        <v>10</v>
      </c>
      <c r="R210" s="205" t="s">
        <v>194</v>
      </c>
      <c r="S210" s="206" t="s">
        <v>125</v>
      </c>
      <c r="T210" s="211">
        <v>200</v>
      </c>
      <c r="U210" s="211">
        <v>0</v>
      </c>
      <c r="V210" s="213">
        <v>0</v>
      </c>
      <c r="W210" s="213">
        <v>0</v>
      </c>
    </row>
    <row r="211" spans="1:23" ht="15" customHeight="1">
      <c r="C211" s="3">
        <v>10</v>
      </c>
      <c r="D211" s="15" t="s">
        <v>181</v>
      </c>
      <c r="E211" s="312" t="s">
        <v>89</v>
      </c>
      <c r="G211" s="26">
        <v>20157</v>
      </c>
      <c r="H211" s="26">
        <v>19985</v>
      </c>
      <c r="I211" s="26">
        <v>18361</v>
      </c>
      <c r="J211" s="26">
        <v>19955</v>
      </c>
      <c r="K211" s="26">
        <v>20430</v>
      </c>
      <c r="L211" s="26">
        <v>12205</v>
      </c>
      <c r="M211" s="26">
        <f>15685*1.33</f>
        <v>20861.050000000003</v>
      </c>
      <c r="N211" s="26">
        <v>23000</v>
      </c>
      <c r="P211" s="202">
        <v>196</v>
      </c>
      <c r="Q211" s="210">
        <v>10</v>
      </c>
      <c r="R211" s="205" t="s">
        <v>195</v>
      </c>
      <c r="S211" s="206" t="s">
        <v>106</v>
      </c>
      <c r="T211" s="211">
        <v>0</v>
      </c>
      <c r="U211" s="211">
        <v>0</v>
      </c>
      <c r="V211" s="213">
        <v>0</v>
      </c>
      <c r="W211" s="213">
        <v>0</v>
      </c>
    </row>
    <row r="212" spans="1:23" ht="15" customHeight="1">
      <c r="C212" s="3">
        <v>10</v>
      </c>
      <c r="D212" s="15" t="s">
        <v>182</v>
      </c>
      <c r="E212" s="312" t="s">
        <v>91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P212" s="202">
        <v>197</v>
      </c>
      <c r="Q212" s="210">
        <v>10</v>
      </c>
      <c r="R212" s="205" t="s">
        <v>196</v>
      </c>
      <c r="S212" s="206" t="s">
        <v>197</v>
      </c>
      <c r="T212" s="211">
        <v>0</v>
      </c>
      <c r="U212" s="211">
        <v>0</v>
      </c>
      <c r="V212" s="213">
        <v>0</v>
      </c>
      <c r="W212" s="213">
        <v>0</v>
      </c>
    </row>
    <row r="213" spans="1:23" ht="15" customHeight="1">
      <c r="C213" s="3">
        <v>10</v>
      </c>
      <c r="D213" s="15" t="s">
        <v>183</v>
      </c>
      <c r="E213" s="312" t="s">
        <v>93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P213" s="202">
        <v>198</v>
      </c>
      <c r="Q213" s="210">
        <v>10</v>
      </c>
      <c r="R213" s="205" t="s">
        <v>198</v>
      </c>
      <c r="S213" s="206" t="s">
        <v>128</v>
      </c>
      <c r="T213" s="211">
        <v>50</v>
      </c>
      <c r="U213" s="211">
        <v>0</v>
      </c>
      <c r="V213" s="213">
        <v>0</v>
      </c>
      <c r="W213" s="213">
        <v>0</v>
      </c>
    </row>
    <row r="214" spans="1:23" ht="15" customHeight="1">
      <c r="C214" s="3">
        <v>10</v>
      </c>
      <c r="D214" s="15" t="s">
        <v>184</v>
      </c>
      <c r="E214" s="312" t="s">
        <v>95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P214" s="202">
        <v>199</v>
      </c>
      <c r="Q214" s="210">
        <v>10</v>
      </c>
      <c r="R214" s="205" t="s">
        <v>199</v>
      </c>
      <c r="S214" s="206" t="s">
        <v>200</v>
      </c>
      <c r="T214" s="211">
        <v>50</v>
      </c>
      <c r="U214" s="211">
        <v>0</v>
      </c>
      <c r="V214" s="213">
        <v>166</v>
      </c>
      <c r="W214" s="213">
        <v>332</v>
      </c>
    </row>
    <row r="215" spans="1:23" ht="15" customHeight="1">
      <c r="C215" s="3">
        <v>10</v>
      </c>
      <c r="D215" s="15" t="s">
        <v>185</v>
      </c>
      <c r="E215" s="312" t="s">
        <v>97</v>
      </c>
      <c r="G215" s="26">
        <v>1789</v>
      </c>
      <c r="H215" s="26">
        <v>638</v>
      </c>
      <c r="I215" s="26">
        <v>590</v>
      </c>
      <c r="J215" s="26">
        <v>760</v>
      </c>
      <c r="K215" s="26">
        <v>760</v>
      </c>
      <c r="L215" s="26">
        <v>492</v>
      </c>
      <c r="M215" s="26">
        <f>636*1.33</f>
        <v>845.88</v>
      </c>
      <c r="N215" s="26">
        <v>1128</v>
      </c>
      <c r="P215" s="202">
        <v>200</v>
      </c>
      <c r="Q215" s="210">
        <v>10</v>
      </c>
      <c r="R215" s="205" t="s">
        <v>201</v>
      </c>
      <c r="S215" s="206" t="s">
        <v>202</v>
      </c>
      <c r="T215" s="211">
        <v>0</v>
      </c>
      <c r="U215" s="211">
        <v>0</v>
      </c>
      <c r="V215" s="213">
        <v>0</v>
      </c>
      <c r="W215" s="213">
        <v>0</v>
      </c>
    </row>
    <row r="216" spans="1:23" ht="15" customHeight="1">
      <c r="C216" s="3">
        <v>10</v>
      </c>
      <c r="D216" s="15" t="s">
        <v>186</v>
      </c>
      <c r="E216" s="312" t="s">
        <v>99</v>
      </c>
      <c r="G216" s="26">
        <v>117</v>
      </c>
      <c r="H216" s="26">
        <v>117</v>
      </c>
      <c r="I216" s="26">
        <v>117</v>
      </c>
      <c r="J216" s="26">
        <v>117</v>
      </c>
      <c r="K216" s="26">
        <v>118</v>
      </c>
      <c r="L216" s="26">
        <v>114</v>
      </c>
      <c r="M216" s="26">
        <f>114*1.33</f>
        <v>151.62</v>
      </c>
      <c r="N216" s="26">
        <v>152</v>
      </c>
      <c r="P216" s="202">
        <v>201</v>
      </c>
      <c r="Q216" s="210">
        <v>10</v>
      </c>
      <c r="R216" s="205" t="s">
        <v>203</v>
      </c>
      <c r="S216" s="206" t="s">
        <v>130</v>
      </c>
      <c r="T216" s="211">
        <v>0</v>
      </c>
      <c r="U216" s="211">
        <v>0</v>
      </c>
      <c r="V216" s="213">
        <v>0</v>
      </c>
      <c r="W216" s="213">
        <v>0</v>
      </c>
    </row>
    <row r="217" spans="1:23" ht="15" customHeight="1">
      <c r="C217" s="3">
        <v>10</v>
      </c>
      <c r="D217" s="15" t="s">
        <v>187</v>
      </c>
      <c r="E217" s="312" t="s">
        <v>101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P217" s="202">
        <v>202</v>
      </c>
      <c r="Q217" s="210">
        <v>10</v>
      </c>
      <c r="R217" s="205" t="s">
        <v>204</v>
      </c>
      <c r="S217" s="206" t="s">
        <v>132</v>
      </c>
      <c r="T217" s="211">
        <v>100</v>
      </c>
      <c r="U217" s="211">
        <v>0</v>
      </c>
      <c r="V217" s="213">
        <v>0</v>
      </c>
      <c r="W217" s="213">
        <v>0</v>
      </c>
    </row>
    <row r="218" spans="1:23" ht="15" customHeight="1">
      <c r="C218" s="3">
        <v>10</v>
      </c>
      <c r="D218" s="15" t="s">
        <v>188</v>
      </c>
      <c r="E218" s="312" t="s">
        <v>103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P218" s="202">
        <v>203</v>
      </c>
      <c r="Q218" s="210">
        <v>10</v>
      </c>
      <c r="R218" s="205" t="s">
        <v>205</v>
      </c>
      <c r="S218" s="206" t="s">
        <v>206</v>
      </c>
      <c r="T218" s="211">
        <v>75</v>
      </c>
      <c r="U218" s="211">
        <v>11.52</v>
      </c>
      <c r="V218" s="213">
        <v>66.14</v>
      </c>
      <c r="W218" s="213">
        <v>88.19</v>
      </c>
    </row>
    <row r="219" spans="1:23" ht="15" customHeight="1">
      <c r="G219" s="26"/>
      <c r="H219" s="26"/>
      <c r="I219" s="26"/>
      <c r="J219" s="26"/>
      <c r="K219" s="26"/>
      <c r="L219" s="26"/>
      <c r="M219" s="26"/>
      <c r="N219" s="26"/>
      <c r="P219" s="202">
        <v>204</v>
      </c>
      <c r="Q219" s="210">
        <v>10</v>
      </c>
      <c r="R219" s="205" t="s">
        <v>207</v>
      </c>
      <c r="S219" s="206" t="s">
        <v>208</v>
      </c>
      <c r="T219" s="211">
        <v>0</v>
      </c>
      <c r="U219" s="211">
        <v>0</v>
      </c>
      <c r="V219" s="213">
        <v>0</v>
      </c>
      <c r="W219" s="213">
        <v>0</v>
      </c>
    </row>
    <row r="220" spans="1:23" s="72" customFormat="1" ht="15" customHeight="1">
      <c r="A220" s="5" t="s">
        <v>2410</v>
      </c>
      <c r="B220" s="5" t="s">
        <v>2317</v>
      </c>
      <c r="C220" s="3"/>
      <c r="D220" s="323" t="s">
        <v>2014</v>
      </c>
      <c r="E220" s="323"/>
      <c r="F220" s="324"/>
      <c r="G220" s="325">
        <f>SUM(G204:G219)</f>
        <v>189396</v>
      </c>
      <c r="H220" s="325">
        <f t="shared" ref="H220:N220" si="34">SUM(H204:H219)</f>
        <v>184427</v>
      </c>
      <c r="I220" s="325">
        <f t="shared" si="34"/>
        <v>162345</v>
      </c>
      <c r="J220" s="325">
        <f t="shared" si="34"/>
        <v>166290</v>
      </c>
      <c r="K220" s="325">
        <f t="shared" si="34"/>
        <v>172010</v>
      </c>
      <c r="L220" s="325">
        <f t="shared" si="34"/>
        <v>100670</v>
      </c>
      <c r="M220" s="325">
        <f t="shared" si="34"/>
        <v>171942.39999999997</v>
      </c>
      <c r="N220" s="325">
        <f t="shared" si="34"/>
        <v>183250</v>
      </c>
      <c r="O220" s="286"/>
      <c r="P220" s="202">
        <v>205</v>
      </c>
      <c r="Q220" s="210">
        <v>10</v>
      </c>
      <c r="R220" s="205" t="s">
        <v>209</v>
      </c>
      <c r="S220" s="206" t="s">
        <v>210</v>
      </c>
      <c r="T220" s="211">
        <v>0</v>
      </c>
      <c r="U220" s="211">
        <v>0</v>
      </c>
      <c r="V220" s="213">
        <v>0</v>
      </c>
      <c r="W220" s="213">
        <v>0</v>
      </c>
    </row>
    <row r="221" spans="1:23" s="46" customFormat="1" ht="15" customHeight="1">
      <c r="A221" s="2"/>
      <c r="B221" s="2"/>
      <c r="C221" s="3"/>
      <c r="D221" s="47"/>
      <c r="E221" s="47"/>
      <c r="F221" s="191"/>
      <c r="G221" s="48"/>
      <c r="H221" s="48"/>
      <c r="I221" s="48"/>
      <c r="J221" s="48"/>
      <c r="K221" s="48"/>
      <c r="L221" s="48"/>
      <c r="M221" s="48"/>
      <c r="N221" s="48"/>
      <c r="O221" s="289"/>
      <c r="P221" s="202">
        <v>206</v>
      </c>
      <c r="Q221" s="210">
        <v>10</v>
      </c>
      <c r="R221" s="205" t="s">
        <v>211</v>
      </c>
      <c r="S221" s="206" t="s">
        <v>134</v>
      </c>
      <c r="T221" s="211">
        <v>0</v>
      </c>
      <c r="U221" s="211">
        <v>0</v>
      </c>
      <c r="V221" s="213">
        <v>0</v>
      </c>
      <c r="W221" s="213">
        <v>0</v>
      </c>
    </row>
    <row r="222" spans="1:23" s="5" customFormat="1" ht="15" customHeight="1">
      <c r="A222" s="2"/>
      <c r="B222" s="2"/>
      <c r="C222" s="3"/>
      <c r="D222" s="47" t="s">
        <v>2015</v>
      </c>
      <c r="E222" s="15"/>
      <c r="F222" s="105"/>
      <c r="G222" s="26"/>
      <c r="H222" s="26"/>
      <c r="I222" s="26"/>
      <c r="J222" s="26"/>
      <c r="K222" s="26"/>
      <c r="L222" s="26"/>
      <c r="M222" s="26"/>
      <c r="N222" s="26"/>
      <c r="O222" s="282"/>
      <c r="P222" s="202">
        <v>207</v>
      </c>
      <c r="Q222" s="210">
        <v>10</v>
      </c>
      <c r="R222" s="205" t="s">
        <v>212</v>
      </c>
      <c r="S222" s="206" t="s">
        <v>213</v>
      </c>
      <c r="T222" s="211">
        <v>0</v>
      </c>
      <c r="U222" s="211">
        <v>0</v>
      </c>
      <c r="V222" s="213">
        <v>0</v>
      </c>
      <c r="W222" s="213">
        <v>0</v>
      </c>
    </row>
    <row r="223" spans="1:23" ht="15" customHeight="1">
      <c r="G223" s="26"/>
      <c r="H223" s="26"/>
      <c r="I223" s="26"/>
      <c r="J223" s="26"/>
      <c r="K223" s="26"/>
      <c r="L223" s="26"/>
      <c r="M223" s="26"/>
      <c r="N223" s="26"/>
      <c r="P223" s="202">
        <v>208</v>
      </c>
      <c r="Q223" s="210">
        <v>10</v>
      </c>
      <c r="R223" s="205" t="s">
        <v>2623</v>
      </c>
      <c r="S223" s="206"/>
      <c r="T223" s="211"/>
      <c r="U223" s="211"/>
      <c r="V223" s="213"/>
      <c r="W223" s="213"/>
    </row>
    <row r="224" spans="1:23" ht="15" customHeight="1">
      <c r="C224" s="3">
        <v>10</v>
      </c>
      <c r="D224" s="15" t="s">
        <v>189</v>
      </c>
      <c r="E224" s="312" t="s">
        <v>115</v>
      </c>
      <c r="G224" s="26">
        <v>10</v>
      </c>
      <c r="H224" s="26">
        <v>447</v>
      </c>
      <c r="I224" s="26">
        <v>823</v>
      </c>
      <c r="J224" s="26">
        <v>498</v>
      </c>
      <c r="K224" s="26">
        <v>450</v>
      </c>
      <c r="L224" s="26">
        <v>815</v>
      </c>
      <c r="M224" s="26">
        <v>1200</v>
      </c>
      <c r="N224" s="26">
        <v>800</v>
      </c>
      <c r="O224" s="285"/>
      <c r="P224" s="202">
        <v>209</v>
      </c>
      <c r="Q224" s="210">
        <v>10</v>
      </c>
      <c r="R224" s="205" t="s">
        <v>104</v>
      </c>
      <c r="S224" s="206"/>
      <c r="T224" s="211">
        <v>1425</v>
      </c>
      <c r="U224" s="211">
        <v>158.01</v>
      </c>
      <c r="V224" s="213">
        <v>1274.67</v>
      </c>
      <c r="W224" s="213">
        <v>0</v>
      </c>
    </row>
    <row r="225" spans="3:23" ht="15" customHeight="1">
      <c r="C225" s="3">
        <v>10</v>
      </c>
      <c r="D225" s="15" t="s">
        <v>190</v>
      </c>
      <c r="E225" s="312" t="s">
        <v>117</v>
      </c>
      <c r="G225" s="26">
        <v>0</v>
      </c>
      <c r="H225" s="26">
        <v>0</v>
      </c>
      <c r="I225" s="26">
        <v>0</v>
      </c>
      <c r="J225" s="26">
        <v>0</v>
      </c>
      <c r="K225" s="26">
        <v>100</v>
      </c>
      <c r="L225" s="26">
        <v>0</v>
      </c>
      <c r="M225" s="26">
        <v>50</v>
      </c>
      <c r="N225" s="26">
        <v>100</v>
      </c>
      <c r="O225" s="285"/>
      <c r="P225" s="202">
        <v>210</v>
      </c>
      <c r="Q225" s="210">
        <v>10</v>
      </c>
      <c r="R225" s="205" t="s">
        <v>135</v>
      </c>
      <c r="S225" s="206"/>
      <c r="T225" s="211"/>
      <c r="U225" s="211"/>
      <c r="V225" s="213"/>
      <c r="W225" s="213"/>
    </row>
    <row r="226" spans="3:23" ht="15" customHeight="1">
      <c r="C226" s="3">
        <v>10</v>
      </c>
      <c r="D226" s="15" t="s">
        <v>191</v>
      </c>
      <c r="E226" s="312" t="s">
        <v>119</v>
      </c>
      <c r="G226" s="26">
        <v>90</v>
      </c>
      <c r="H226" s="26">
        <v>101</v>
      </c>
      <c r="I226" s="26">
        <v>86</v>
      </c>
      <c r="J226" s="26">
        <v>112</v>
      </c>
      <c r="K226" s="26">
        <v>100</v>
      </c>
      <c r="L226" s="26">
        <v>43</v>
      </c>
      <c r="M226" s="26">
        <v>80</v>
      </c>
      <c r="N226" s="26">
        <v>100</v>
      </c>
      <c r="O226" s="285"/>
      <c r="P226" s="202">
        <v>211</v>
      </c>
      <c r="Q226" s="210">
        <v>10</v>
      </c>
      <c r="R226" s="205" t="s">
        <v>2626</v>
      </c>
      <c r="S226" s="206"/>
      <c r="T226" s="211"/>
      <c r="U226" s="211"/>
      <c r="V226" s="213"/>
      <c r="W226" s="213"/>
    </row>
    <row r="227" spans="3:23" ht="15" customHeight="1">
      <c r="C227" s="3">
        <v>10</v>
      </c>
      <c r="D227" s="15" t="s">
        <v>192</v>
      </c>
      <c r="E227" s="312" t="s">
        <v>121</v>
      </c>
      <c r="G227" s="26">
        <v>152</v>
      </c>
      <c r="H227" s="26">
        <v>10</v>
      </c>
      <c r="I227" s="26">
        <v>0</v>
      </c>
      <c r="J227" s="26">
        <v>27</v>
      </c>
      <c r="K227" s="26">
        <v>100</v>
      </c>
      <c r="L227" s="26">
        <v>0</v>
      </c>
      <c r="M227" s="26">
        <v>50</v>
      </c>
      <c r="N227" s="26">
        <v>100</v>
      </c>
      <c r="O227" s="285"/>
      <c r="P227" s="202">
        <v>212</v>
      </c>
      <c r="Q227" s="210">
        <v>10</v>
      </c>
      <c r="R227" s="205" t="s">
        <v>214</v>
      </c>
      <c r="S227" s="206" t="s">
        <v>137</v>
      </c>
      <c r="T227" s="211">
        <v>1800</v>
      </c>
      <c r="U227" s="211">
        <v>82.56</v>
      </c>
      <c r="V227" s="213">
        <v>1127.3499999999999</v>
      </c>
      <c r="W227" s="213">
        <v>62.63</v>
      </c>
    </row>
    <row r="228" spans="3:23" ht="15" customHeight="1">
      <c r="C228" s="3">
        <v>10</v>
      </c>
      <c r="D228" s="15" t="s">
        <v>193</v>
      </c>
      <c r="E228" s="312" t="s">
        <v>123</v>
      </c>
      <c r="G228" s="26">
        <v>604</v>
      </c>
      <c r="H228" s="26">
        <v>302</v>
      </c>
      <c r="I228" s="26">
        <v>191</v>
      </c>
      <c r="J228" s="26">
        <v>202</v>
      </c>
      <c r="K228" s="26">
        <v>200</v>
      </c>
      <c r="L228" s="26">
        <v>39</v>
      </c>
      <c r="M228" s="26">
        <v>120</v>
      </c>
      <c r="N228" s="26">
        <v>200</v>
      </c>
      <c r="O228" s="285"/>
      <c r="P228" s="202">
        <v>213</v>
      </c>
      <c r="Q228" s="210">
        <v>10</v>
      </c>
      <c r="R228" s="205" t="s">
        <v>215</v>
      </c>
      <c r="S228" s="206" t="s">
        <v>216</v>
      </c>
      <c r="T228" s="211">
        <v>0</v>
      </c>
      <c r="U228" s="211">
        <v>0</v>
      </c>
      <c r="V228" s="213">
        <v>0</v>
      </c>
      <c r="W228" s="213">
        <v>0</v>
      </c>
    </row>
    <row r="229" spans="3:23" ht="15" customHeight="1">
      <c r="C229" s="3">
        <v>10</v>
      </c>
      <c r="D229" s="15" t="s">
        <v>194</v>
      </c>
      <c r="E229" s="312" t="s">
        <v>125</v>
      </c>
      <c r="G229" s="26">
        <v>332</v>
      </c>
      <c r="H229" s="26">
        <v>179</v>
      </c>
      <c r="I229" s="26">
        <v>75</v>
      </c>
      <c r="J229" s="26">
        <v>109</v>
      </c>
      <c r="K229" s="26">
        <v>200</v>
      </c>
      <c r="L229" s="26">
        <v>0</v>
      </c>
      <c r="M229" s="26">
        <v>0</v>
      </c>
      <c r="N229" s="26">
        <v>200</v>
      </c>
      <c r="O229" s="285"/>
      <c r="P229" s="202">
        <v>214</v>
      </c>
      <c r="Q229" s="210">
        <v>10</v>
      </c>
      <c r="R229" s="205" t="s">
        <v>217</v>
      </c>
      <c r="S229" s="206" t="s">
        <v>139</v>
      </c>
      <c r="T229" s="211">
        <v>500</v>
      </c>
      <c r="U229" s="211">
        <v>0</v>
      </c>
      <c r="V229" s="213">
        <v>50</v>
      </c>
      <c r="W229" s="213">
        <v>10</v>
      </c>
    </row>
    <row r="230" spans="3:23" ht="15" customHeight="1">
      <c r="C230" s="3">
        <v>10</v>
      </c>
      <c r="D230" s="15" t="s">
        <v>195</v>
      </c>
      <c r="E230" s="312" t="s">
        <v>106</v>
      </c>
      <c r="G230" s="26">
        <v>0</v>
      </c>
      <c r="H230" s="26">
        <v>0</v>
      </c>
      <c r="I230" s="26">
        <v>0</v>
      </c>
      <c r="J230" s="26">
        <v>0</v>
      </c>
      <c r="K230" s="26">
        <v>0</v>
      </c>
      <c r="L230" s="26">
        <v>0</v>
      </c>
      <c r="M230" s="26">
        <v>0</v>
      </c>
      <c r="N230" s="26">
        <v>0</v>
      </c>
      <c r="O230" s="285"/>
      <c r="P230" s="202">
        <v>215</v>
      </c>
      <c r="Q230" s="210">
        <v>10</v>
      </c>
      <c r="R230" s="205" t="s">
        <v>218</v>
      </c>
      <c r="S230" s="206" t="s">
        <v>141</v>
      </c>
      <c r="T230" s="211">
        <v>0</v>
      </c>
      <c r="U230" s="211">
        <v>0</v>
      </c>
      <c r="V230" s="213">
        <v>0</v>
      </c>
      <c r="W230" s="213">
        <v>0</v>
      </c>
    </row>
    <row r="231" spans="3:23" ht="15" customHeight="1">
      <c r="C231" s="3">
        <v>10</v>
      </c>
      <c r="D231" s="15" t="s">
        <v>196</v>
      </c>
      <c r="E231" s="312" t="s">
        <v>197</v>
      </c>
      <c r="G231" s="26">
        <v>0</v>
      </c>
      <c r="H231" s="26">
        <v>0</v>
      </c>
      <c r="I231" s="26">
        <v>0</v>
      </c>
      <c r="J231" s="26">
        <v>0</v>
      </c>
      <c r="K231" s="26">
        <v>0</v>
      </c>
      <c r="L231" s="26">
        <v>0</v>
      </c>
      <c r="M231" s="26">
        <v>0</v>
      </c>
      <c r="N231" s="26">
        <v>0</v>
      </c>
      <c r="O231" s="285"/>
      <c r="P231" s="202">
        <v>216</v>
      </c>
      <c r="Q231" s="210">
        <v>10</v>
      </c>
      <c r="R231" s="205" t="s">
        <v>219</v>
      </c>
      <c r="S231" s="206" t="s">
        <v>143</v>
      </c>
      <c r="T231" s="211">
        <v>0</v>
      </c>
      <c r="U231" s="211">
        <v>0</v>
      </c>
      <c r="V231" s="213">
        <v>0</v>
      </c>
      <c r="W231" s="213">
        <v>0</v>
      </c>
    </row>
    <row r="232" spans="3:23" ht="15" customHeight="1">
      <c r="C232" s="3">
        <v>10</v>
      </c>
      <c r="D232" s="15" t="s">
        <v>198</v>
      </c>
      <c r="E232" s="312" t="s">
        <v>128</v>
      </c>
      <c r="G232" s="26">
        <v>0</v>
      </c>
      <c r="H232" s="26">
        <v>53</v>
      </c>
      <c r="I232" s="26">
        <v>0</v>
      </c>
      <c r="J232" s="26">
        <v>0</v>
      </c>
      <c r="K232" s="26">
        <v>50</v>
      </c>
      <c r="L232" s="26">
        <v>0</v>
      </c>
      <c r="M232" s="26">
        <v>30</v>
      </c>
      <c r="N232" s="26">
        <v>50</v>
      </c>
      <c r="O232" s="285"/>
      <c r="P232" s="202">
        <v>217</v>
      </c>
      <c r="Q232" s="210">
        <v>10</v>
      </c>
      <c r="R232" s="205" t="s">
        <v>220</v>
      </c>
      <c r="S232" s="206" t="s">
        <v>145</v>
      </c>
      <c r="T232" s="211">
        <v>0</v>
      </c>
      <c r="U232" s="211">
        <v>0</v>
      </c>
      <c r="V232" s="213">
        <v>0</v>
      </c>
      <c r="W232" s="213">
        <v>0</v>
      </c>
    </row>
    <row r="233" spans="3:23" ht="15" customHeight="1">
      <c r="C233" s="3">
        <v>10</v>
      </c>
      <c r="D233" s="15" t="s">
        <v>199</v>
      </c>
      <c r="E233" s="312" t="s">
        <v>200</v>
      </c>
      <c r="G233" s="26">
        <v>0</v>
      </c>
      <c r="H233" s="26">
        <v>0</v>
      </c>
      <c r="I233" s="26">
        <v>0</v>
      </c>
      <c r="J233" s="26">
        <v>45</v>
      </c>
      <c r="K233" s="26">
        <v>50</v>
      </c>
      <c r="L233" s="26">
        <v>166</v>
      </c>
      <c r="M233" s="26">
        <v>200</v>
      </c>
      <c r="N233" s="26">
        <v>200</v>
      </c>
      <c r="O233" s="285"/>
      <c r="P233" s="202">
        <v>218</v>
      </c>
      <c r="Q233" s="210">
        <v>10</v>
      </c>
      <c r="R233" s="205" t="s">
        <v>221</v>
      </c>
      <c r="S233" s="206" t="s">
        <v>147</v>
      </c>
      <c r="T233" s="211">
        <v>0</v>
      </c>
      <c r="U233" s="211">
        <v>0</v>
      </c>
      <c r="V233" s="213">
        <v>0</v>
      </c>
      <c r="W233" s="213">
        <v>0</v>
      </c>
    </row>
    <row r="234" spans="3:23" ht="15" customHeight="1">
      <c r="C234" s="3">
        <v>10</v>
      </c>
      <c r="D234" s="15" t="s">
        <v>201</v>
      </c>
      <c r="E234" s="312" t="s">
        <v>202</v>
      </c>
      <c r="G234" s="26">
        <v>0</v>
      </c>
      <c r="H234" s="26">
        <v>0</v>
      </c>
      <c r="I234" s="26">
        <v>0</v>
      </c>
      <c r="J234" s="26">
        <v>0</v>
      </c>
      <c r="K234" s="26">
        <v>0</v>
      </c>
      <c r="L234" s="26">
        <v>0</v>
      </c>
      <c r="M234" s="26">
        <v>0</v>
      </c>
      <c r="N234" s="26">
        <v>0</v>
      </c>
      <c r="O234" s="285"/>
      <c r="P234" s="202">
        <v>219</v>
      </c>
      <c r="Q234" s="210">
        <v>10</v>
      </c>
      <c r="R234" s="205" t="s">
        <v>222</v>
      </c>
      <c r="S234" s="206" t="s">
        <v>149</v>
      </c>
      <c r="T234" s="211">
        <v>0</v>
      </c>
      <c r="U234" s="211">
        <v>0</v>
      </c>
      <c r="V234" s="213">
        <v>0</v>
      </c>
      <c r="W234" s="213">
        <v>0</v>
      </c>
    </row>
    <row r="235" spans="3:23" ht="15" customHeight="1">
      <c r="C235" s="3">
        <v>10</v>
      </c>
      <c r="D235" s="15" t="s">
        <v>203</v>
      </c>
      <c r="E235" s="312" t="s">
        <v>130</v>
      </c>
      <c r="G235" s="26">
        <v>0</v>
      </c>
      <c r="H235" s="26">
        <v>0</v>
      </c>
      <c r="I235" s="26">
        <v>0</v>
      </c>
      <c r="J235" s="26">
        <v>0</v>
      </c>
      <c r="K235" s="26">
        <v>0</v>
      </c>
      <c r="L235" s="26">
        <v>0</v>
      </c>
      <c r="M235" s="26">
        <v>0</v>
      </c>
      <c r="N235" s="26">
        <v>0</v>
      </c>
      <c r="O235" s="285"/>
      <c r="P235" s="202">
        <v>220</v>
      </c>
      <c r="Q235" s="210">
        <v>10</v>
      </c>
      <c r="R235" s="205" t="s">
        <v>223</v>
      </c>
      <c r="S235" s="206" t="s">
        <v>151</v>
      </c>
      <c r="T235" s="211">
        <v>1200</v>
      </c>
      <c r="U235" s="211">
        <v>0</v>
      </c>
      <c r="V235" s="213">
        <v>787.99</v>
      </c>
      <c r="W235" s="213">
        <v>65.67</v>
      </c>
    </row>
    <row r="236" spans="3:23" ht="15" customHeight="1">
      <c r="C236" s="3">
        <v>10</v>
      </c>
      <c r="D236" s="15" t="s">
        <v>204</v>
      </c>
      <c r="E236" s="312" t="s">
        <v>132</v>
      </c>
      <c r="G236" s="26">
        <v>10</v>
      </c>
      <c r="H236" s="26">
        <v>58</v>
      </c>
      <c r="I236" s="26">
        <v>430</v>
      </c>
      <c r="J236" s="26">
        <v>87</v>
      </c>
      <c r="K236" s="26">
        <v>100</v>
      </c>
      <c r="L236" s="26">
        <v>0</v>
      </c>
      <c r="M236" s="26">
        <v>0</v>
      </c>
      <c r="N236" s="26">
        <v>400</v>
      </c>
      <c r="O236" s="285" t="s">
        <v>2600</v>
      </c>
      <c r="P236" s="202">
        <v>221</v>
      </c>
      <c r="Q236" s="210">
        <v>10</v>
      </c>
      <c r="R236" s="205" t="s">
        <v>224</v>
      </c>
      <c r="S236" s="206" t="s">
        <v>153</v>
      </c>
      <c r="T236" s="211">
        <v>3100</v>
      </c>
      <c r="U236" s="211">
        <v>203.37</v>
      </c>
      <c r="V236" s="213">
        <v>1558.12</v>
      </c>
      <c r="W236" s="213">
        <v>50.26</v>
      </c>
    </row>
    <row r="237" spans="3:23" ht="15" customHeight="1">
      <c r="C237" s="3">
        <v>10</v>
      </c>
      <c r="D237" s="15" t="s">
        <v>205</v>
      </c>
      <c r="E237" s="312" t="s">
        <v>206</v>
      </c>
      <c r="G237" s="26">
        <v>0</v>
      </c>
      <c r="H237" s="26">
        <v>98</v>
      </c>
      <c r="I237" s="26">
        <v>138</v>
      </c>
      <c r="J237" s="26">
        <v>96</v>
      </c>
      <c r="K237" s="26">
        <v>75</v>
      </c>
      <c r="L237" s="26">
        <v>55</v>
      </c>
      <c r="M237" s="26">
        <v>75</v>
      </c>
      <c r="N237" s="26">
        <v>75</v>
      </c>
      <c r="O237" s="285"/>
      <c r="P237" s="202">
        <v>222</v>
      </c>
      <c r="Q237" s="210">
        <v>10</v>
      </c>
      <c r="R237" s="205" t="s">
        <v>225</v>
      </c>
      <c r="S237" s="206" t="s">
        <v>155</v>
      </c>
      <c r="T237" s="211">
        <v>0</v>
      </c>
      <c r="U237" s="211">
        <v>0</v>
      </c>
      <c r="V237" s="213">
        <v>0</v>
      </c>
      <c r="W237" s="213">
        <v>0</v>
      </c>
    </row>
    <row r="238" spans="3:23" ht="15" customHeight="1">
      <c r="C238" s="3">
        <v>10</v>
      </c>
      <c r="D238" s="15" t="s">
        <v>207</v>
      </c>
      <c r="E238" s="312" t="s">
        <v>208</v>
      </c>
      <c r="G238" s="26">
        <v>0</v>
      </c>
      <c r="H238" s="26">
        <v>0</v>
      </c>
      <c r="I238" s="26">
        <v>0</v>
      </c>
      <c r="J238" s="26">
        <v>0</v>
      </c>
      <c r="K238" s="26">
        <v>0</v>
      </c>
      <c r="L238" s="26">
        <v>0</v>
      </c>
      <c r="M238" s="26">
        <v>0</v>
      </c>
      <c r="N238" s="26">
        <v>0</v>
      </c>
      <c r="O238" s="285"/>
      <c r="P238" s="202">
        <v>223</v>
      </c>
      <c r="Q238" s="210">
        <v>10</v>
      </c>
      <c r="R238" s="205" t="s">
        <v>226</v>
      </c>
      <c r="S238" s="206" t="s">
        <v>157</v>
      </c>
      <c r="T238" s="211">
        <v>20</v>
      </c>
      <c r="U238" s="211">
        <v>0</v>
      </c>
      <c r="V238" s="213">
        <v>19.350000000000001</v>
      </c>
      <c r="W238" s="213">
        <v>96.75</v>
      </c>
    </row>
    <row r="239" spans="3:23" ht="15" customHeight="1">
      <c r="C239" s="3">
        <v>10</v>
      </c>
      <c r="D239" s="15" t="s">
        <v>209</v>
      </c>
      <c r="E239" s="312" t="s">
        <v>210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85"/>
      <c r="P239" s="202">
        <v>224</v>
      </c>
      <c r="Q239" s="210">
        <v>10</v>
      </c>
      <c r="R239" s="205" t="s">
        <v>227</v>
      </c>
      <c r="S239" s="206" t="s">
        <v>159</v>
      </c>
      <c r="T239" s="211">
        <v>0</v>
      </c>
      <c r="U239" s="211">
        <v>0</v>
      </c>
      <c r="V239" s="213">
        <v>0</v>
      </c>
      <c r="W239" s="213">
        <v>0</v>
      </c>
    </row>
    <row r="240" spans="3:23" ht="15" customHeight="1">
      <c r="C240" s="3">
        <v>10</v>
      </c>
      <c r="D240" s="15" t="s">
        <v>211</v>
      </c>
      <c r="E240" s="312" t="s">
        <v>134</v>
      </c>
      <c r="G240" s="26">
        <v>0</v>
      </c>
      <c r="H240" s="26">
        <v>0</v>
      </c>
      <c r="I240" s="26">
        <v>34</v>
      </c>
      <c r="J240" s="26">
        <v>0</v>
      </c>
      <c r="K240" s="26">
        <v>0</v>
      </c>
      <c r="L240" s="26">
        <v>0</v>
      </c>
      <c r="M240" s="26">
        <v>0</v>
      </c>
      <c r="N240" s="26">
        <v>0</v>
      </c>
      <c r="O240" s="285"/>
      <c r="P240" s="202">
        <v>225</v>
      </c>
      <c r="Q240" s="210">
        <v>10</v>
      </c>
      <c r="R240" s="205" t="s">
        <v>228</v>
      </c>
      <c r="S240" s="206" t="s">
        <v>229</v>
      </c>
      <c r="T240" s="211">
        <v>0</v>
      </c>
      <c r="U240" s="211">
        <v>0</v>
      </c>
      <c r="V240" s="213">
        <v>0</v>
      </c>
      <c r="W240" s="213">
        <v>0</v>
      </c>
    </row>
    <row r="241" spans="1:23" ht="15" customHeight="1">
      <c r="C241" s="3">
        <v>10</v>
      </c>
      <c r="D241" s="15" t="s">
        <v>212</v>
      </c>
      <c r="E241" s="312" t="s">
        <v>213</v>
      </c>
      <c r="G241" s="26">
        <v>0</v>
      </c>
      <c r="H241" s="26">
        <v>0</v>
      </c>
      <c r="I241" s="26">
        <v>0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285"/>
      <c r="P241" s="202">
        <v>226</v>
      </c>
      <c r="Q241" s="210">
        <v>10</v>
      </c>
      <c r="R241" s="205" t="s">
        <v>230</v>
      </c>
      <c r="S241" s="206" t="s">
        <v>162</v>
      </c>
      <c r="T241" s="211">
        <v>0</v>
      </c>
      <c r="U241" s="211">
        <v>0</v>
      </c>
      <c r="V241" s="213">
        <v>0</v>
      </c>
      <c r="W241" s="213">
        <v>0</v>
      </c>
    </row>
    <row r="242" spans="1:23" ht="15" customHeight="1">
      <c r="G242" s="26"/>
      <c r="H242" s="26"/>
      <c r="I242" s="26"/>
      <c r="J242" s="26"/>
      <c r="K242" s="26"/>
      <c r="L242" s="26"/>
      <c r="M242" s="26"/>
      <c r="N242" s="26"/>
      <c r="P242" s="202">
        <v>227</v>
      </c>
      <c r="Q242" s="210">
        <v>10</v>
      </c>
      <c r="R242" s="205" t="s">
        <v>2623</v>
      </c>
      <c r="S242" s="206"/>
      <c r="T242" s="211"/>
      <c r="U242" s="211"/>
      <c r="V242" s="213"/>
      <c r="W242" s="213"/>
    </row>
    <row r="243" spans="1:23" s="200" customFormat="1" ht="15" customHeight="1">
      <c r="A243" s="196" t="s">
        <v>104</v>
      </c>
      <c r="B243" s="196" t="s">
        <v>2317</v>
      </c>
      <c r="C243" s="75"/>
      <c r="D243" s="323" t="s">
        <v>2016</v>
      </c>
      <c r="E243" s="323"/>
      <c r="F243" s="324"/>
      <c r="G243" s="325">
        <f>SUM(G222:G242)</f>
        <v>1198</v>
      </c>
      <c r="H243" s="325">
        <f t="shared" ref="H243:N243" si="35">SUM(H222:H242)</f>
        <v>1248</v>
      </c>
      <c r="I243" s="325">
        <f t="shared" si="35"/>
        <v>1777</v>
      </c>
      <c r="J243" s="325">
        <f t="shared" si="35"/>
        <v>1176</v>
      </c>
      <c r="K243" s="325">
        <f t="shared" si="35"/>
        <v>1425</v>
      </c>
      <c r="L243" s="325">
        <f t="shared" si="35"/>
        <v>1118</v>
      </c>
      <c r="M243" s="325">
        <f t="shared" si="35"/>
        <v>1805</v>
      </c>
      <c r="N243" s="325">
        <f t="shared" si="35"/>
        <v>2225</v>
      </c>
      <c r="O243" s="287"/>
      <c r="P243" s="202">
        <v>228</v>
      </c>
      <c r="Q243" s="210">
        <v>10</v>
      </c>
      <c r="R243" s="205" t="s">
        <v>135</v>
      </c>
      <c r="S243" s="206"/>
      <c r="T243" s="211">
        <v>6620</v>
      </c>
      <c r="U243" s="211">
        <v>285.93</v>
      </c>
      <c r="V243" s="213">
        <v>3542.81</v>
      </c>
      <c r="W243" s="213">
        <v>0</v>
      </c>
    </row>
    <row r="244" spans="1:23" s="46" customFormat="1" ht="15" customHeight="1">
      <c r="A244" s="2"/>
      <c r="B244" s="2"/>
      <c r="C244" s="3"/>
      <c r="D244" s="47"/>
      <c r="E244" s="47"/>
      <c r="F244" s="191"/>
      <c r="G244" s="48"/>
      <c r="H244" s="48"/>
      <c r="I244" s="48"/>
      <c r="J244" s="48"/>
      <c r="K244" s="48"/>
      <c r="L244" s="48"/>
      <c r="M244" s="48"/>
      <c r="N244" s="48"/>
      <c r="O244" s="289"/>
      <c r="P244" s="202">
        <v>229</v>
      </c>
      <c r="Q244" s="210">
        <v>10</v>
      </c>
      <c r="R244" s="205" t="s">
        <v>163</v>
      </c>
      <c r="S244" s="206"/>
      <c r="T244" s="211"/>
      <c r="U244" s="211"/>
      <c r="V244" s="213"/>
      <c r="W244" s="213"/>
    </row>
    <row r="245" spans="1:23" ht="15" customHeight="1">
      <c r="D245" s="47" t="s">
        <v>2017</v>
      </c>
      <c r="G245" s="26"/>
      <c r="H245" s="26"/>
      <c r="I245" s="26"/>
      <c r="J245" s="26"/>
      <c r="K245" s="26"/>
      <c r="L245" s="26"/>
      <c r="M245" s="26"/>
      <c r="N245" s="26"/>
      <c r="P245" s="202">
        <v>230</v>
      </c>
      <c r="Q245" s="210">
        <v>10</v>
      </c>
      <c r="R245" s="205" t="s">
        <v>2627</v>
      </c>
      <c r="S245" s="206"/>
      <c r="T245" s="211"/>
      <c r="U245" s="211"/>
      <c r="V245" s="213"/>
      <c r="W245" s="213"/>
    </row>
    <row r="246" spans="1:23" ht="15" customHeight="1">
      <c r="G246" s="26"/>
      <c r="H246" s="26"/>
      <c r="I246" s="26"/>
      <c r="J246" s="26"/>
      <c r="K246" s="26"/>
      <c r="L246" s="26"/>
      <c r="M246" s="26"/>
      <c r="N246" s="26"/>
      <c r="P246" s="202">
        <v>231</v>
      </c>
      <c r="Q246" s="210">
        <v>10</v>
      </c>
      <c r="R246" s="205" t="s">
        <v>231</v>
      </c>
      <c r="S246" s="206" t="s">
        <v>232</v>
      </c>
      <c r="T246" s="211">
        <v>800</v>
      </c>
      <c r="U246" s="211">
        <v>0</v>
      </c>
      <c r="V246" s="213">
        <v>0</v>
      </c>
      <c r="W246" s="213">
        <v>0</v>
      </c>
    </row>
    <row r="247" spans="1:23" ht="15" customHeight="1">
      <c r="C247" s="3">
        <v>10</v>
      </c>
      <c r="D247" s="15" t="s">
        <v>214</v>
      </c>
      <c r="E247" s="312" t="s">
        <v>137</v>
      </c>
      <c r="G247" s="26">
        <v>1410</v>
      </c>
      <c r="H247" s="26">
        <v>1566</v>
      </c>
      <c r="I247" s="26">
        <v>1077</v>
      </c>
      <c r="J247" s="26">
        <v>2066</v>
      </c>
      <c r="K247" s="26">
        <v>1800</v>
      </c>
      <c r="L247" s="26">
        <v>1045</v>
      </c>
      <c r="M247" s="26">
        <v>1800</v>
      </c>
      <c r="N247" s="26">
        <v>1800</v>
      </c>
      <c r="O247" s="285"/>
      <c r="P247" s="202">
        <v>232</v>
      </c>
      <c r="Q247" s="210">
        <v>10</v>
      </c>
      <c r="R247" s="205" t="s">
        <v>233</v>
      </c>
      <c r="S247" s="206" t="s">
        <v>234</v>
      </c>
      <c r="T247" s="211">
        <v>0</v>
      </c>
      <c r="U247" s="211">
        <v>0</v>
      </c>
      <c r="V247" s="213">
        <v>0</v>
      </c>
      <c r="W247" s="213">
        <v>0</v>
      </c>
    </row>
    <row r="248" spans="1:23" ht="15" customHeight="1">
      <c r="C248" s="3">
        <v>10</v>
      </c>
      <c r="D248" s="15" t="s">
        <v>215</v>
      </c>
      <c r="E248" s="312" t="s">
        <v>216</v>
      </c>
      <c r="G248" s="26">
        <v>0</v>
      </c>
      <c r="H248" s="26">
        <v>0</v>
      </c>
      <c r="I248" s="26">
        <v>0</v>
      </c>
      <c r="J248" s="26">
        <v>0</v>
      </c>
      <c r="K248" s="26">
        <v>0</v>
      </c>
      <c r="L248" s="26">
        <v>0</v>
      </c>
      <c r="M248" s="26">
        <v>0</v>
      </c>
      <c r="N248" s="26">
        <v>0</v>
      </c>
      <c r="O248" s="285"/>
      <c r="P248" s="202">
        <v>233</v>
      </c>
      <c r="Q248" s="210">
        <v>10</v>
      </c>
      <c r="R248" s="205" t="s">
        <v>235</v>
      </c>
      <c r="S248" s="206" t="s">
        <v>236</v>
      </c>
      <c r="T248" s="211">
        <v>0</v>
      </c>
      <c r="U248" s="211">
        <v>0</v>
      </c>
      <c r="V248" s="213">
        <v>0</v>
      </c>
      <c r="W248" s="213">
        <v>0</v>
      </c>
    </row>
    <row r="249" spans="1:23" ht="15" customHeight="1">
      <c r="C249" s="3">
        <v>10</v>
      </c>
      <c r="D249" s="15" t="s">
        <v>217</v>
      </c>
      <c r="E249" s="312" t="s">
        <v>139</v>
      </c>
      <c r="G249" s="26">
        <v>675</v>
      </c>
      <c r="H249" s="26">
        <v>507</v>
      </c>
      <c r="I249" s="26">
        <v>1130</v>
      </c>
      <c r="J249" s="26">
        <v>613</v>
      </c>
      <c r="K249" s="26">
        <v>500</v>
      </c>
      <c r="L249" s="26">
        <v>50</v>
      </c>
      <c r="M249" s="26">
        <v>200</v>
      </c>
      <c r="N249" s="26">
        <v>200</v>
      </c>
      <c r="O249" s="285"/>
      <c r="P249" s="202">
        <v>234</v>
      </c>
      <c r="Q249" s="210">
        <v>10</v>
      </c>
      <c r="R249" s="205" t="s">
        <v>237</v>
      </c>
      <c r="S249" s="206" t="s">
        <v>165</v>
      </c>
      <c r="T249" s="211">
        <v>0</v>
      </c>
      <c r="U249" s="211">
        <v>0</v>
      </c>
      <c r="V249" s="213">
        <v>0</v>
      </c>
      <c r="W249" s="213">
        <v>0</v>
      </c>
    </row>
    <row r="250" spans="1:23" ht="15" customHeight="1">
      <c r="C250" s="3">
        <v>10</v>
      </c>
      <c r="D250" s="15" t="s">
        <v>218</v>
      </c>
      <c r="E250" s="312" t="s">
        <v>141</v>
      </c>
      <c r="G250" s="26">
        <v>50</v>
      </c>
      <c r="H250" s="26">
        <v>0</v>
      </c>
      <c r="I250" s="26">
        <v>0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85"/>
      <c r="P250" s="202">
        <v>235</v>
      </c>
      <c r="Q250" s="210">
        <v>10</v>
      </c>
      <c r="R250" s="205" t="s">
        <v>238</v>
      </c>
      <c r="S250" s="206" t="s">
        <v>167</v>
      </c>
      <c r="T250" s="211">
        <v>0</v>
      </c>
      <c r="U250" s="211">
        <v>0</v>
      </c>
      <c r="V250" s="213">
        <v>0</v>
      </c>
      <c r="W250" s="213">
        <v>0</v>
      </c>
    </row>
    <row r="251" spans="1:23" ht="15" customHeight="1">
      <c r="C251" s="3">
        <v>10</v>
      </c>
      <c r="D251" s="15" t="s">
        <v>219</v>
      </c>
      <c r="E251" s="312" t="s">
        <v>143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85"/>
      <c r="P251" s="202">
        <v>236</v>
      </c>
      <c r="Q251" s="210">
        <v>10</v>
      </c>
      <c r="R251" s="205" t="s">
        <v>239</v>
      </c>
      <c r="S251" s="206" t="s">
        <v>169</v>
      </c>
      <c r="T251" s="211">
        <v>1000</v>
      </c>
      <c r="U251" s="211">
        <v>33.79</v>
      </c>
      <c r="V251" s="213">
        <v>299.41000000000003</v>
      </c>
      <c r="W251" s="213">
        <v>29.94</v>
      </c>
    </row>
    <row r="252" spans="1:23" ht="15" customHeight="1">
      <c r="C252" s="3">
        <v>10</v>
      </c>
      <c r="D252" s="15" t="s">
        <v>220</v>
      </c>
      <c r="E252" s="312" t="s">
        <v>145</v>
      </c>
      <c r="G252" s="26">
        <v>0</v>
      </c>
      <c r="H252" s="26">
        <v>0</v>
      </c>
      <c r="I252" s="26">
        <v>0</v>
      </c>
      <c r="J252" s="26">
        <v>0</v>
      </c>
      <c r="K252" s="26">
        <v>0</v>
      </c>
      <c r="L252" s="26">
        <v>0</v>
      </c>
      <c r="M252" s="26">
        <v>0</v>
      </c>
      <c r="N252" s="26">
        <v>0</v>
      </c>
      <c r="O252" s="285"/>
      <c r="P252" s="202">
        <v>237</v>
      </c>
      <c r="Q252" s="210">
        <v>10</v>
      </c>
      <c r="R252" s="205" t="s">
        <v>240</v>
      </c>
      <c r="S252" s="206" t="s">
        <v>171</v>
      </c>
      <c r="T252" s="211">
        <v>0</v>
      </c>
      <c r="U252" s="211">
        <v>0</v>
      </c>
      <c r="V252" s="213">
        <v>0</v>
      </c>
      <c r="W252" s="213">
        <v>0</v>
      </c>
    </row>
    <row r="253" spans="1:23" ht="15" customHeight="1">
      <c r="C253" s="3">
        <v>10</v>
      </c>
      <c r="D253" s="15" t="s">
        <v>221</v>
      </c>
      <c r="E253" s="312" t="s">
        <v>147</v>
      </c>
      <c r="G253" s="26">
        <v>31</v>
      </c>
      <c r="H253" s="26">
        <v>0</v>
      </c>
      <c r="I253" s="26">
        <v>0</v>
      </c>
      <c r="J253" s="26">
        <v>0</v>
      </c>
      <c r="K253" s="26">
        <v>0</v>
      </c>
      <c r="L253" s="26">
        <v>0</v>
      </c>
      <c r="M253" s="26">
        <v>0</v>
      </c>
      <c r="N253" s="26">
        <v>0</v>
      </c>
      <c r="O253" s="285"/>
      <c r="P253" s="202">
        <v>238</v>
      </c>
      <c r="Q253" s="210">
        <v>10</v>
      </c>
      <c r="R253" s="205" t="s">
        <v>241</v>
      </c>
      <c r="S253" s="206" t="s">
        <v>173</v>
      </c>
      <c r="T253" s="211">
        <v>0</v>
      </c>
      <c r="U253" s="211">
        <v>0</v>
      </c>
      <c r="V253" s="213">
        <v>0</v>
      </c>
      <c r="W253" s="213">
        <v>0</v>
      </c>
    </row>
    <row r="254" spans="1:23" ht="15" customHeight="1">
      <c r="C254" s="3">
        <v>10</v>
      </c>
      <c r="D254" s="15" t="s">
        <v>222</v>
      </c>
      <c r="E254" s="312" t="s">
        <v>149</v>
      </c>
      <c r="G254" s="26">
        <v>0</v>
      </c>
      <c r="H254" s="26">
        <v>0</v>
      </c>
      <c r="I254" s="26">
        <v>0</v>
      </c>
      <c r="J254" s="26">
        <v>0</v>
      </c>
      <c r="K254" s="26">
        <v>0</v>
      </c>
      <c r="L254" s="26">
        <v>0</v>
      </c>
      <c r="M254" s="26">
        <v>0</v>
      </c>
      <c r="N254" s="26">
        <v>0</v>
      </c>
      <c r="O254" s="285"/>
      <c r="P254" s="202">
        <v>239</v>
      </c>
      <c r="Q254" s="210">
        <v>10</v>
      </c>
      <c r="R254" s="205" t="s">
        <v>242</v>
      </c>
      <c r="S254" s="206" t="s">
        <v>175</v>
      </c>
      <c r="T254" s="211">
        <v>0</v>
      </c>
      <c r="U254" s="211">
        <v>0</v>
      </c>
      <c r="V254" s="213">
        <v>0</v>
      </c>
      <c r="W254" s="213">
        <v>0</v>
      </c>
    </row>
    <row r="255" spans="1:23" ht="15" customHeight="1">
      <c r="C255" s="3">
        <v>10</v>
      </c>
      <c r="D255" s="15" t="s">
        <v>223</v>
      </c>
      <c r="E255" s="312" t="s">
        <v>151</v>
      </c>
      <c r="G255" s="26">
        <v>1092</v>
      </c>
      <c r="H255" s="26">
        <v>347</v>
      </c>
      <c r="I255" s="26">
        <v>778</v>
      </c>
      <c r="J255" s="26">
        <v>515</v>
      </c>
      <c r="K255" s="26">
        <v>1200</v>
      </c>
      <c r="L255" s="26">
        <v>788</v>
      </c>
      <c r="M255" s="26">
        <v>1200</v>
      </c>
      <c r="N255" s="26">
        <v>1000</v>
      </c>
      <c r="O255" s="285"/>
      <c r="P255" s="202">
        <v>240</v>
      </c>
      <c r="Q255" s="210">
        <v>10</v>
      </c>
      <c r="R255" s="205" t="s">
        <v>243</v>
      </c>
      <c r="S255" s="206" t="s">
        <v>244</v>
      </c>
      <c r="T255" s="211">
        <v>0</v>
      </c>
      <c r="U255" s="211">
        <v>0</v>
      </c>
      <c r="V255" s="213">
        <v>0</v>
      </c>
      <c r="W255" s="213">
        <v>0</v>
      </c>
    </row>
    <row r="256" spans="1:23" ht="15" customHeight="1">
      <c r="C256" s="3">
        <v>10</v>
      </c>
      <c r="D256" s="15" t="s">
        <v>224</v>
      </c>
      <c r="E256" s="312" t="s">
        <v>153</v>
      </c>
      <c r="G256" s="26">
        <v>2579</v>
      </c>
      <c r="H256" s="26">
        <v>3090</v>
      </c>
      <c r="I256" s="26">
        <v>3557</v>
      </c>
      <c r="J256" s="26">
        <v>3167</v>
      </c>
      <c r="K256" s="26">
        <v>3100</v>
      </c>
      <c r="L256" s="26">
        <v>1355</v>
      </c>
      <c r="M256" s="26">
        <v>3100</v>
      </c>
      <c r="N256" s="26">
        <v>2000</v>
      </c>
      <c r="O256" s="285"/>
      <c r="P256" s="202">
        <v>241</v>
      </c>
      <c r="Q256" s="210">
        <v>10</v>
      </c>
      <c r="R256" s="205" t="s">
        <v>2623</v>
      </c>
      <c r="S256" s="206"/>
      <c r="T256" s="211"/>
      <c r="U256" s="211"/>
      <c r="V256" s="213"/>
      <c r="W256" s="213"/>
    </row>
    <row r="257" spans="1:23" ht="15" customHeight="1">
      <c r="C257" s="3">
        <v>10</v>
      </c>
      <c r="D257" s="15" t="s">
        <v>225</v>
      </c>
      <c r="E257" s="312" t="s">
        <v>155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85"/>
      <c r="P257" s="202">
        <v>242</v>
      </c>
      <c r="Q257" s="210">
        <v>10</v>
      </c>
      <c r="R257" s="205" t="s">
        <v>163</v>
      </c>
      <c r="S257" s="206"/>
      <c r="T257" s="211">
        <v>1800</v>
      </c>
      <c r="U257" s="211">
        <v>33.79</v>
      </c>
      <c r="V257" s="213">
        <v>299.41000000000003</v>
      </c>
      <c r="W257" s="213">
        <v>0</v>
      </c>
    </row>
    <row r="258" spans="1:23" ht="15" customHeight="1">
      <c r="C258" s="3">
        <v>10</v>
      </c>
      <c r="D258" s="15" t="s">
        <v>226</v>
      </c>
      <c r="E258" s="312" t="s">
        <v>157</v>
      </c>
      <c r="G258" s="26">
        <v>367</v>
      </c>
      <c r="H258" s="26">
        <v>2</v>
      </c>
      <c r="I258" s="26">
        <v>0</v>
      </c>
      <c r="J258" s="26">
        <v>7</v>
      </c>
      <c r="K258" s="26">
        <v>20</v>
      </c>
      <c r="L258" s="26">
        <v>19</v>
      </c>
      <c r="M258" s="26">
        <v>19</v>
      </c>
      <c r="N258" s="26">
        <v>50</v>
      </c>
      <c r="O258" s="285"/>
      <c r="P258" s="202">
        <v>243</v>
      </c>
      <c r="Q258" s="210">
        <v>10</v>
      </c>
      <c r="R258" s="205" t="s">
        <v>245</v>
      </c>
      <c r="S258" s="206"/>
      <c r="T258" s="211"/>
      <c r="U258" s="211"/>
      <c r="V258" s="213"/>
      <c r="W258" s="213"/>
    </row>
    <row r="259" spans="1:23" ht="15" customHeight="1">
      <c r="C259" s="3">
        <v>10</v>
      </c>
      <c r="D259" s="15" t="s">
        <v>227</v>
      </c>
      <c r="E259" s="312" t="s">
        <v>159</v>
      </c>
      <c r="G259" s="26">
        <v>0</v>
      </c>
      <c r="H259" s="26">
        <v>0</v>
      </c>
      <c r="I259" s="26">
        <v>0</v>
      </c>
      <c r="J259" s="26">
        <v>0</v>
      </c>
      <c r="K259" s="26">
        <v>0</v>
      </c>
      <c r="L259" s="26">
        <v>0</v>
      </c>
      <c r="M259" s="26">
        <v>0</v>
      </c>
      <c r="N259" s="26">
        <v>0</v>
      </c>
      <c r="O259" s="285"/>
      <c r="P259" s="202">
        <v>244</v>
      </c>
      <c r="Q259" s="210">
        <v>10</v>
      </c>
      <c r="R259" s="205" t="s">
        <v>2628</v>
      </c>
      <c r="S259" s="206"/>
      <c r="T259" s="211"/>
      <c r="U259" s="211"/>
      <c r="V259" s="213"/>
      <c r="W259" s="213"/>
    </row>
    <row r="260" spans="1:23" ht="15" customHeight="1">
      <c r="C260" s="3">
        <v>10</v>
      </c>
      <c r="D260" s="15" t="s">
        <v>228</v>
      </c>
      <c r="E260" s="312" t="s">
        <v>229</v>
      </c>
      <c r="G260" s="26">
        <v>0</v>
      </c>
      <c r="H260" s="26">
        <v>0</v>
      </c>
      <c r="I260" s="26">
        <v>0</v>
      </c>
      <c r="J260" s="26">
        <v>0</v>
      </c>
      <c r="K260" s="26">
        <v>0</v>
      </c>
      <c r="L260" s="26">
        <v>0</v>
      </c>
      <c r="M260" s="26">
        <v>0</v>
      </c>
      <c r="N260" s="26">
        <v>0</v>
      </c>
      <c r="O260" s="285"/>
      <c r="P260" s="202">
        <v>245</v>
      </c>
      <c r="Q260" s="210">
        <v>10</v>
      </c>
      <c r="R260" s="205" t="s">
        <v>246</v>
      </c>
      <c r="S260" s="206" t="s">
        <v>247</v>
      </c>
      <c r="T260" s="211">
        <v>0</v>
      </c>
      <c r="U260" s="211">
        <v>0</v>
      </c>
      <c r="V260" s="213">
        <v>0</v>
      </c>
      <c r="W260" s="213">
        <v>0</v>
      </c>
    </row>
    <row r="261" spans="1:23" ht="15" customHeight="1">
      <c r="C261" s="3">
        <v>10</v>
      </c>
      <c r="D261" s="15" t="s">
        <v>230</v>
      </c>
      <c r="E261" s="312" t="s">
        <v>162</v>
      </c>
      <c r="G261" s="26">
        <v>35</v>
      </c>
      <c r="H261" s="26">
        <v>0</v>
      </c>
      <c r="I261" s="26">
        <v>0</v>
      </c>
      <c r="J261" s="26">
        <v>494</v>
      </c>
      <c r="K261" s="26">
        <v>0</v>
      </c>
      <c r="L261" s="26">
        <v>0</v>
      </c>
      <c r="M261" s="26">
        <v>0</v>
      </c>
      <c r="N261" s="26">
        <v>0</v>
      </c>
      <c r="O261" s="285"/>
      <c r="P261" s="202">
        <v>246</v>
      </c>
      <c r="Q261" s="210">
        <v>10</v>
      </c>
      <c r="R261" s="205" t="s">
        <v>2623</v>
      </c>
      <c r="S261" s="206"/>
      <c r="T261" s="211"/>
      <c r="U261" s="211"/>
      <c r="V261" s="213"/>
      <c r="W261" s="213"/>
    </row>
    <row r="262" spans="1:23" ht="15" customHeight="1">
      <c r="G262" s="26"/>
      <c r="H262" s="26"/>
      <c r="I262" s="26"/>
      <c r="J262" s="26"/>
      <c r="K262" s="26"/>
      <c r="L262" s="26"/>
      <c r="M262" s="26"/>
      <c r="N262" s="26"/>
      <c r="P262" s="202">
        <v>247</v>
      </c>
      <c r="Q262" s="210">
        <v>10</v>
      </c>
      <c r="R262" s="205" t="s">
        <v>245</v>
      </c>
      <c r="S262" s="206"/>
      <c r="T262" s="211">
        <v>0</v>
      </c>
      <c r="U262" s="211">
        <v>0</v>
      </c>
      <c r="V262" s="213">
        <v>0</v>
      </c>
      <c r="W262" s="213">
        <v>0</v>
      </c>
    </row>
    <row r="263" spans="1:23" s="22" customFormat="1" ht="15" customHeight="1">
      <c r="A263" s="2" t="s">
        <v>135</v>
      </c>
      <c r="B263" s="2" t="s">
        <v>2317</v>
      </c>
      <c r="C263" s="3"/>
      <c r="D263" s="323" t="s">
        <v>2018</v>
      </c>
      <c r="E263" s="323"/>
      <c r="F263" s="324"/>
      <c r="G263" s="325">
        <f>SUM(G245:G262)</f>
        <v>6239</v>
      </c>
      <c r="H263" s="325">
        <f t="shared" ref="H263:N263" si="36">SUM(H245:H262)</f>
        <v>5512</v>
      </c>
      <c r="I263" s="325">
        <f t="shared" si="36"/>
        <v>6542</v>
      </c>
      <c r="J263" s="325">
        <f t="shared" si="36"/>
        <v>6862</v>
      </c>
      <c r="K263" s="325">
        <f t="shared" si="36"/>
        <v>6620</v>
      </c>
      <c r="L263" s="325">
        <f t="shared" si="36"/>
        <v>3257</v>
      </c>
      <c r="M263" s="325">
        <f t="shared" si="36"/>
        <v>6319</v>
      </c>
      <c r="N263" s="325">
        <f t="shared" si="36"/>
        <v>5050</v>
      </c>
      <c r="O263" s="290"/>
      <c r="P263" s="202">
        <v>248</v>
      </c>
      <c r="Q263" s="210">
        <v>10</v>
      </c>
      <c r="R263" s="205" t="s">
        <v>2623</v>
      </c>
      <c r="S263" s="206"/>
      <c r="T263" s="211"/>
      <c r="U263" s="211"/>
      <c r="V263" s="213"/>
      <c r="W263" s="213"/>
    </row>
    <row r="264" spans="1:23" s="46" customFormat="1" ht="15" customHeight="1">
      <c r="A264" s="2"/>
      <c r="B264" s="2"/>
      <c r="C264" s="3"/>
      <c r="D264" s="47"/>
      <c r="E264" s="47"/>
      <c r="F264" s="191"/>
      <c r="G264" s="48"/>
      <c r="H264" s="48"/>
      <c r="I264" s="48"/>
      <c r="J264" s="48"/>
      <c r="K264" s="48"/>
      <c r="L264" s="48"/>
      <c r="M264" s="48"/>
      <c r="N264" s="48"/>
      <c r="O264" s="289"/>
      <c r="P264" s="202">
        <v>249</v>
      </c>
      <c r="Q264" s="210">
        <v>10</v>
      </c>
      <c r="R264" s="205" t="s">
        <v>2</v>
      </c>
      <c r="S264" s="206"/>
      <c r="T264" s="211">
        <v>181855</v>
      </c>
      <c r="U264" s="211">
        <v>14783.67</v>
      </c>
      <c r="V264" s="213">
        <v>120093.87</v>
      </c>
      <c r="W264" s="213">
        <v>66.040000000000006</v>
      </c>
    </row>
    <row r="265" spans="1:23" ht="15" customHeight="1">
      <c r="D265" s="47" t="s">
        <v>2019</v>
      </c>
      <c r="G265" s="26"/>
      <c r="H265" s="26"/>
      <c r="I265" s="26"/>
      <c r="J265" s="26"/>
      <c r="K265" s="26"/>
      <c r="L265" s="26"/>
      <c r="M265" s="26"/>
      <c r="N265" s="26"/>
      <c r="P265" s="202">
        <v>250</v>
      </c>
      <c r="Q265" s="210">
        <v>10</v>
      </c>
      <c r="R265" s="205" t="s">
        <v>2621</v>
      </c>
      <c r="S265" s="206"/>
      <c r="T265" s="211"/>
      <c r="U265" s="211"/>
      <c r="V265" s="213"/>
      <c r="W265" s="213"/>
    </row>
    <row r="266" spans="1:23" ht="15" customHeight="1">
      <c r="G266" s="26"/>
      <c r="H266" s="26"/>
      <c r="I266" s="26"/>
      <c r="J266" s="26"/>
      <c r="K266" s="26"/>
      <c r="L266" s="26"/>
      <c r="M266" s="26"/>
      <c r="N266" s="26"/>
      <c r="P266" s="202">
        <v>251</v>
      </c>
      <c r="Q266" s="210">
        <v>10</v>
      </c>
      <c r="R266" s="205" t="s">
        <v>2622</v>
      </c>
      <c r="S266" s="206"/>
      <c r="T266" s="211"/>
      <c r="U266" s="211"/>
      <c r="V266" s="213"/>
      <c r="W266" s="213"/>
    </row>
    <row r="267" spans="1:23" ht="15" customHeight="1">
      <c r="C267" s="3">
        <v>10</v>
      </c>
      <c r="D267" s="15" t="s">
        <v>231</v>
      </c>
      <c r="E267" s="312" t="s">
        <v>232</v>
      </c>
      <c r="G267" s="26">
        <v>0</v>
      </c>
      <c r="H267" s="26">
        <v>0</v>
      </c>
      <c r="I267" s="26">
        <v>0</v>
      </c>
      <c r="J267" s="26">
        <v>0</v>
      </c>
      <c r="K267" s="26">
        <v>800</v>
      </c>
      <c r="L267" s="26">
        <v>0</v>
      </c>
      <c r="M267" s="26">
        <v>500</v>
      </c>
      <c r="N267" s="26">
        <v>500</v>
      </c>
      <c r="O267" s="285"/>
      <c r="P267" s="202">
        <v>252</v>
      </c>
      <c r="Q267" s="210">
        <v>10</v>
      </c>
      <c r="R267" s="205" t="s">
        <v>248</v>
      </c>
      <c r="S267" s="206" t="s">
        <v>79</v>
      </c>
      <c r="T267" s="211">
        <v>58300</v>
      </c>
      <c r="U267" s="211">
        <v>4858</v>
      </c>
      <c r="V267" s="213">
        <v>38864</v>
      </c>
      <c r="W267" s="213">
        <v>66.66</v>
      </c>
    </row>
    <row r="268" spans="1:23" ht="15" customHeight="1">
      <c r="C268" s="3">
        <v>10</v>
      </c>
      <c r="D268" s="15" t="s">
        <v>233</v>
      </c>
      <c r="E268" s="312" t="s">
        <v>234</v>
      </c>
      <c r="G268" s="26">
        <v>0</v>
      </c>
      <c r="H268" s="26">
        <v>0</v>
      </c>
      <c r="I268" s="26">
        <v>0</v>
      </c>
      <c r="J268" s="26">
        <v>0</v>
      </c>
      <c r="K268" s="26">
        <v>0</v>
      </c>
      <c r="L268" s="26">
        <v>0</v>
      </c>
      <c r="M268" s="26">
        <v>0</v>
      </c>
      <c r="N268" s="26">
        <v>0</v>
      </c>
      <c r="O268" s="285"/>
      <c r="P268" s="202">
        <v>253</v>
      </c>
      <c r="Q268" s="210">
        <v>10</v>
      </c>
      <c r="R268" s="205" t="s">
        <v>249</v>
      </c>
      <c r="S268" s="206" t="s">
        <v>81</v>
      </c>
      <c r="T268" s="211">
        <v>6659</v>
      </c>
      <c r="U268" s="211">
        <v>554.91999999999996</v>
      </c>
      <c r="V268" s="213">
        <v>4430.8100000000004</v>
      </c>
      <c r="W268" s="213">
        <v>66.540000000000006</v>
      </c>
    </row>
    <row r="269" spans="1:23" ht="15" customHeight="1">
      <c r="C269" s="3">
        <v>10</v>
      </c>
      <c r="D269" s="15" t="s">
        <v>235</v>
      </c>
      <c r="E269" s="312" t="s">
        <v>236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85"/>
      <c r="P269" s="202">
        <v>254</v>
      </c>
      <c r="Q269" s="210">
        <v>10</v>
      </c>
      <c r="R269" s="205" t="s">
        <v>250</v>
      </c>
      <c r="S269" s="206" t="s">
        <v>83</v>
      </c>
      <c r="T269" s="211">
        <v>0</v>
      </c>
      <c r="U269" s="211">
        <v>0</v>
      </c>
      <c r="V269" s="213">
        <v>0</v>
      </c>
      <c r="W269" s="213">
        <v>0</v>
      </c>
    </row>
    <row r="270" spans="1:23" ht="15" customHeight="1">
      <c r="C270" s="3">
        <v>10</v>
      </c>
      <c r="D270" s="15" t="s">
        <v>237</v>
      </c>
      <c r="E270" s="312" t="s">
        <v>165</v>
      </c>
      <c r="G270" s="26">
        <v>32</v>
      </c>
      <c r="H270" s="26">
        <v>0</v>
      </c>
      <c r="I270" s="26">
        <v>0</v>
      </c>
      <c r="J270" s="26">
        <v>0</v>
      </c>
      <c r="K270" s="26">
        <v>0</v>
      </c>
      <c r="L270" s="26">
        <v>0</v>
      </c>
      <c r="M270" s="26">
        <v>0</v>
      </c>
      <c r="N270" s="26">
        <v>0</v>
      </c>
      <c r="O270" s="285"/>
      <c r="P270" s="202">
        <v>255</v>
      </c>
      <c r="Q270" s="210">
        <v>10</v>
      </c>
      <c r="R270" s="205" t="s">
        <v>251</v>
      </c>
      <c r="S270" s="206" t="s">
        <v>85</v>
      </c>
      <c r="T270" s="211">
        <v>193</v>
      </c>
      <c r="U270" s="211">
        <v>0</v>
      </c>
      <c r="V270" s="213">
        <v>261</v>
      </c>
      <c r="W270" s="213">
        <v>135.22999999999999</v>
      </c>
    </row>
    <row r="271" spans="1:23" ht="15" customHeight="1">
      <c r="C271" s="3">
        <v>10</v>
      </c>
      <c r="D271" s="15" t="s">
        <v>238</v>
      </c>
      <c r="E271" s="312" t="s">
        <v>167</v>
      </c>
      <c r="G271" s="26">
        <v>0</v>
      </c>
      <c r="H271" s="26">
        <v>0</v>
      </c>
      <c r="I271" s="26">
        <v>0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85"/>
      <c r="P271" s="202">
        <v>256</v>
      </c>
      <c r="Q271" s="210">
        <v>10</v>
      </c>
      <c r="R271" s="205" t="s">
        <v>252</v>
      </c>
      <c r="S271" s="206" t="s">
        <v>87</v>
      </c>
      <c r="T271" s="211">
        <v>4472</v>
      </c>
      <c r="U271" s="211">
        <v>356.84</v>
      </c>
      <c r="V271" s="213">
        <v>2857.48</v>
      </c>
      <c r="W271" s="213">
        <v>63.9</v>
      </c>
    </row>
    <row r="272" spans="1:23" ht="15" customHeight="1">
      <c r="C272" s="3">
        <v>10</v>
      </c>
      <c r="D272" s="15" t="s">
        <v>239</v>
      </c>
      <c r="E272" s="312" t="s">
        <v>169</v>
      </c>
      <c r="G272" s="26">
        <v>1172</v>
      </c>
      <c r="H272" s="26">
        <v>1853</v>
      </c>
      <c r="I272" s="26">
        <v>2916</v>
      </c>
      <c r="J272" s="26">
        <v>1234</v>
      </c>
      <c r="K272" s="26">
        <v>1000</v>
      </c>
      <c r="L272" s="26">
        <v>266</v>
      </c>
      <c r="M272" s="26">
        <v>700</v>
      </c>
      <c r="N272" s="26">
        <v>900</v>
      </c>
      <c r="O272" s="285"/>
      <c r="P272" s="202">
        <v>257</v>
      </c>
      <c r="Q272" s="210">
        <v>10</v>
      </c>
      <c r="R272" s="205" t="s">
        <v>253</v>
      </c>
      <c r="S272" s="206" t="s">
        <v>89</v>
      </c>
      <c r="T272" s="211">
        <v>9363</v>
      </c>
      <c r="U272" s="211">
        <v>793.98</v>
      </c>
      <c r="V272" s="213">
        <v>6356.74</v>
      </c>
      <c r="W272" s="213">
        <v>67.89</v>
      </c>
    </row>
    <row r="273" spans="1:23" ht="15" customHeight="1">
      <c r="C273" s="3">
        <v>10</v>
      </c>
      <c r="D273" s="15" t="s">
        <v>240</v>
      </c>
      <c r="E273" s="312" t="s">
        <v>171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85"/>
      <c r="P273" s="202">
        <v>258</v>
      </c>
      <c r="Q273" s="210">
        <v>10</v>
      </c>
      <c r="R273" s="205" t="s">
        <v>254</v>
      </c>
      <c r="S273" s="206" t="s">
        <v>91</v>
      </c>
      <c r="T273" s="211">
        <v>0</v>
      </c>
      <c r="U273" s="211">
        <v>0</v>
      </c>
      <c r="V273" s="213">
        <v>0</v>
      </c>
      <c r="W273" s="213">
        <v>0</v>
      </c>
    </row>
    <row r="274" spans="1:23" ht="15" customHeight="1">
      <c r="C274" s="3">
        <v>10</v>
      </c>
      <c r="D274" s="15" t="s">
        <v>241</v>
      </c>
      <c r="E274" s="312" t="s">
        <v>173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85"/>
      <c r="P274" s="202">
        <v>259</v>
      </c>
      <c r="Q274" s="210">
        <v>10</v>
      </c>
      <c r="R274" s="205" t="s">
        <v>255</v>
      </c>
      <c r="S274" s="206" t="s">
        <v>93</v>
      </c>
      <c r="T274" s="211">
        <v>0</v>
      </c>
      <c r="U274" s="211">
        <v>0</v>
      </c>
      <c r="V274" s="213">
        <v>0</v>
      </c>
      <c r="W274" s="213">
        <v>0</v>
      </c>
    </row>
    <row r="275" spans="1:23" ht="15" customHeight="1">
      <c r="C275" s="3">
        <v>10</v>
      </c>
      <c r="D275" s="15" t="s">
        <v>242</v>
      </c>
      <c r="E275" s="312" t="s">
        <v>175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85"/>
      <c r="P275" s="202">
        <v>260</v>
      </c>
      <c r="Q275" s="210">
        <v>10</v>
      </c>
      <c r="R275" s="205" t="s">
        <v>256</v>
      </c>
      <c r="S275" s="206" t="s">
        <v>95</v>
      </c>
      <c r="T275" s="211">
        <v>0</v>
      </c>
      <c r="U275" s="211">
        <v>0</v>
      </c>
      <c r="V275" s="213">
        <v>0</v>
      </c>
      <c r="W275" s="213">
        <v>0</v>
      </c>
    </row>
    <row r="276" spans="1:23" ht="15" customHeight="1">
      <c r="C276" s="3">
        <v>10</v>
      </c>
      <c r="D276" s="15" t="s">
        <v>243</v>
      </c>
      <c r="E276" s="312" t="s">
        <v>244</v>
      </c>
      <c r="G276" s="26">
        <v>0</v>
      </c>
      <c r="H276" s="26">
        <v>0</v>
      </c>
      <c r="I276" s="26">
        <v>0</v>
      </c>
      <c r="J276" s="26">
        <v>0</v>
      </c>
      <c r="K276" s="26">
        <v>0</v>
      </c>
      <c r="L276" s="26">
        <v>0</v>
      </c>
      <c r="M276" s="26">
        <v>0</v>
      </c>
      <c r="N276" s="26">
        <v>0</v>
      </c>
      <c r="O276" s="285"/>
      <c r="P276" s="202">
        <v>261</v>
      </c>
      <c r="Q276" s="210">
        <v>10</v>
      </c>
      <c r="R276" s="205" t="s">
        <v>257</v>
      </c>
      <c r="S276" s="206" t="s">
        <v>97</v>
      </c>
      <c r="T276" s="211">
        <v>150</v>
      </c>
      <c r="U276" s="211">
        <v>16</v>
      </c>
      <c r="V276" s="213">
        <v>104</v>
      </c>
      <c r="W276" s="213">
        <v>69.33</v>
      </c>
    </row>
    <row r="277" spans="1:23" ht="15" customHeight="1">
      <c r="G277" s="26"/>
      <c r="H277" s="26"/>
      <c r="I277" s="26"/>
      <c r="J277" s="26"/>
      <c r="K277" s="26"/>
      <c r="L277" s="26"/>
      <c r="M277" s="26"/>
      <c r="N277" s="26"/>
      <c r="P277" s="202">
        <v>262</v>
      </c>
      <c r="Q277" s="210">
        <v>10</v>
      </c>
      <c r="R277" s="205" t="s">
        <v>258</v>
      </c>
      <c r="S277" s="206" t="s">
        <v>99</v>
      </c>
      <c r="T277" s="211">
        <v>59</v>
      </c>
      <c r="U277" s="211">
        <v>0</v>
      </c>
      <c r="V277" s="213">
        <v>57.24</v>
      </c>
      <c r="W277" s="213">
        <v>97.02</v>
      </c>
    </row>
    <row r="278" spans="1:23" s="23" customFormat="1" ht="15" customHeight="1">
      <c r="A278" s="2" t="s">
        <v>163</v>
      </c>
      <c r="B278" s="2" t="s">
        <v>2317</v>
      </c>
      <c r="C278" s="3"/>
      <c r="D278" s="323" t="s">
        <v>2020</v>
      </c>
      <c r="E278" s="323"/>
      <c r="F278" s="324"/>
      <c r="G278" s="325">
        <f>SUM(G265:G277)</f>
        <v>1204</v>
      </c>
      <c r="H278" s="325">
        <f t="shared" ref="H278:N278" si="37">SUM(H265:H277)</f>
        <v>1853</v>
      </c>
      <c r="I278" s="325">
        <f t="shared" si="37"/>
        <v>2916</v>
      </c>
      <c r="J278" s="325">
        <f t="shared" si="37"/>
        <v>1234</v>
      </c>
      <c r="K278" s="325">
        <f t="shared" si="37"/>
        <v>1800</v>
      </c>
      <c r="L278" s="325">
        <f t="shared" si="37"/>
        <v>266</v>
      </c>
      <c r="M278" s="325">
        <f t="shared" si="37"/>
        <v>1200</v>
      </c>
      <c r="N278" s="325">
        <f t="shared" si="37"/>
        <v>1400</v>
      </c>
      <c r="O278" s="291"/>
      <c r="P278" s="202">
        <v>263</v>
      </c>
      <c r="Q278" s="210">
        <v>10</v>
      </c>
      <c r="R278" s="205" t="s">
        <v>259</v>
      </c>
      <c r="S278" s="206" t="s">
        <v>101</v>
      </c>
      <c r="T278" s="211">
        <v>0</v>
      </c>
      <c r="U278" s="211">
        <v>0</v>
      </c>
      <c r="V278" s="213">
        <v>0</v>
      </c>
      <c r="W278" s="213">
        <v>0</v>
      </c>
    </row>
    <row r="279" spans="1:23" s="46" customFormat="1" ht="15" customHeight="1">
      <c r="A279" s="2"/>
      <c r="B279" s="2"/>
      <c r="C279" s="3"/>
      <c r="D279" s="47"/>
      <c r="E279" s="47"/>
      <c r="F279" s="191"/>
      <c r="G279" s="48"/>
      <c r="H279" s="48"/>
      <c r="I279" s="48"/>
      <c r="J279" s="48"/>
      <c r="K279" s="48"/>
      <c r="L279" s="48"/>
      <c r="M279" s="48"/>
      <c r="N279" s="48"/>
      <c r="O279" s="289"/>
      <c r="P279" s="202">
        <v>264</v>
      </c>
      <c r="Q279" s="210">
        <v>10</v>
      </c>
      <c r="R279" s="205" t="s">
        <v>260</v>
      </c>
      <c r="S279" s="206" t="s">
        <v>103</v>
      </c>
      <c r="T279" s="211">
        <v>0</v>
      </c>
      <c r="U279" s="211">
        <v>0</v>
      </c>
      <c r="V279" s="213">
        <v>0</v>
      </c>
      <c r="W279" s="213">
        <v>0</v>
      </c>
    </row>
    <row r="280" spans="1:23" ht="15" customHeight="1">
      <c r="D280" s="47" t="s">
        <v>2021</v>
      </c>
      <c r="G280" s="26"/>
      <c r="H280" s="26"/>
      <c r="I280" s="26"/>
      <c r="J280" s="26"/>
      <c r="K280" s="26"/>
      <c r="L280" s="26"/>
      <c r="M280" s="26"/>
      <c r="N280" s="26"/>
      <c r="P280" s="202">
        <v>265</v>
      </c>
      <c r="Q280" s="210">
        <v>10</v>
      </c>
      <c r="R280" s="205" t="s">
        <v>2623</v>
      </c>
      <c r="S280" s="206"/>
      <c r="T280" s="211"/>
      <c r="U280" s="211"/>
      <c r="V280" s="213"/>
      <c r="W280" s="213"/>
    </row>
    <row r="281" spans="1:23" ht="15" customHeight="1">
      <c r="G281" s="26"/>
      <c r="H281" s="26"/>
      <c r="I281" s="26"/>
      <c r="J281" s="26"/>
      <c r="K281" s="26"/>
      <c r="L281" s="26"/>
      <c r="M281" s="26"/>
      <c r="N281" s="26"/>
      <c r="P281" s="202">
        <v>266</v>
      </c>
      <c r="Q281" s="210">
        <v>10</v>
      </c>
      <c r="R281" s="205" t="s">
        <v>2621</v>
      </c>
      <c r="S281" s="206"/>
      <c r="T281" s="211">
        <v>79196</v>
      </c>
      <c r="U281" s="211">
        <v>6579.74</v>
      </c>
      <c r="V281" s="213">
        <v>52931.27</v>
      </c>
      <c r="W281" s="213">
        <v>0</v>
      </c>
    </row>
    <row r="282" spans="1:23" ht="15" customHeight="1">
      <c r="C282" s="3">
        <v>10</v>
      </c>
      <c r="D282" s="15" t="s">
        <v>246</v>
      </c>
      <c r="E282" s="312" t="s">
        <v>247</v>
      </c>
      <c r="G282" s="26">
        <v>0</v>
      </c>
      <c r="H282" s="26">
        <v>1137</v>
      </c>
      <c r="I282" s="26">
        <v>0</v>
      </c>
      <c r="J282" s="26">
        <v>809</v>
      </c>
      <c r="K282" s="26">
        <v>0</v>
      </c>
      <c r="L282" s="26">
        <v>0</v>
      </c>
      <c r="M282" s="26">
        <v>0</v>
      </c>
      <c r="N282" s="26">
        <v>500</v>
      </c>
      <c r="O282" s="285" t="s">
        <v>2597</v>
      </c>
      <c r="P282" s="202">
        <v>267</v>
      </c>
      <c r="Q282" s="210">
        <v>10</v>
      </c>
      <c r="R282" s="205" t="s">
        <v>104</v>
      </c>
      <c r="S282" s="206"/>
      <c r="T282" s="211"/>
      <c r="U282" s="211"/>
      <c r="V282" s="213"/>
      <c r="W282" s="213"/>
    </row>
    <row r="283" spans="1:23" ht="15" customHeight="1">
      <c r="G283" s="26"/>
      <c r="H283" s="26"/>
      <c r="I283" s="26"/>
      <c r="J283" s="26"/>
      <c r="K283" s="26"/>
      <c r="L283" s="26"/>
      <c r="M283" s="26"/>
      <c r="N283" s="26"/>
      <c r="P283" s="202">
        <v>268</v>
      </c>
      <c r="Q283" s="210">
        <v>10</v>
      </c>
      <c r="R283" s="205" t="s">
        <v>2624</v>
      </c>
      <c r="S283" s="206"/>
      <c r="T283" s="211"/>
      <c r="U283" s="211"/>
      <c r="V283" s="213"/>
      <c r="W283" s="213"/>
    </row>
    <row r="284" spans="1:23" s="24" customFormat="1" ht="15" customHeight="1">
      <c r="A284" s="2" t="s">
        <v>245</v>
      </c>
      <c r="B284" s="2" t="s">
        <v>2317</v>
      </c>
      <c r="C284" s="3"/>
      <c r="D284" s="323" t="s">
        <v>2022</v>
      </c>
      <c r="E284" s="323"/>
      <c r="F284" s="324"/>
      <c r="G284" s="325">
        <f>SUM(G280:G283)</f>
        <v>0</v>
      </c>
      <c r="H284" s="325">
        <f t="shared" ref="H284:N284" si="38">SUM(H280:H283)</f>
        <v>1137</v>
      </c>
      <c r="I284" s="325">
        <f t="shared" si="38"/>
        <v>0</v>
      </c>
      <c r="J284" s="325">
        <f t="shared" si="38"/>
        <v>809</v>
      </c>
      <c r="K284" s="325">
        <f t="shared" si="38"/>
        <v>0</v>
      </c>
      <c r="L284" s="325">
        <f t="shared" si="38"/>
        <v>0</v>
      </c>
      <c r="M284" s="325">
        <f t="shared" si="38"/>
        <v>0</v>
      </c>
      <c r="N284" s="325">
        <f t="shared" si="38"/>
        <v>500</v>
      </c>
      <c r="O284" s="292"/>
      <c r="P284" s="202">
        <v>269</v>
      </c>
      <c r="Q284" s="210">
        <v>10</v>
      </c>
      <c r="R284" s="205" t="s">
        <v>261</v>
      </c>
      <c r="S284" s="206" t="s">
        <v>115</v>
      </c>
      <c r="T284" s="211">
        <v>2000</v>
      </c>
      <c r="U284" s="211">
        <v>60.78</v>
      </c>
      <c r="V284" s="213">
        <v>741.64</v>
      </c>
      <c r="W284" s="213">
        <v>37.08</v>
      </c>
    </row>
    <row r="285" spans="1:23" ht="15" customHeight="1">
      <c r="G285" s="26"/>
      <c r="H285" s="26"/>
      <c r="I285" s="26"/>
      <c r="J285" s="26"/>
      <c r="K285" s="26"/>
      <c r="L285" s="26"/>
      <c r="M285" s="26"/>
      <c r="N285" s="26"/>
      <c r="P285" s="202">
        <v>270</v>
      </c>
      <c r="Q285" s="210">
        <v>10</v>
      </c>
      <c r="R285" s="205" t="s">
        <v>262</v>
      </c>
      <c r="S285" s="206" t="s">
        <v>117</v>
      </c>
      <c r="T285" s="211">
        <v>0</v>
      </c>
      <c r="U285" s="211">
        <v>0</v>
      </c>
      <c r="V285" s="213">
        <v>0</v>
      </c>
      <c r="W285" s="213">
        <v>0</v>
      </c>
    </row>
    <row r="286" spans="1:23" s="43" customFormat="1" ht="15" customHeight="1" thickBot="1">
      <c r="A286" s="2"/>
      <c r="B286" s="2" t="s">
        <v>2317</v>
      </c>
      <c r="C286" s="3"/>
      <c r="D286" s="68" t="s">
        <v>1980</v>
      </c>
      <c r="E286" s="326"/>
      <c r="F286" s="327"/>
      <c r="G286" s="328">
        <f t="shared" ref="G286:N286" si="39">+G284+G278+G263+G243+G220</f>
        <v>198037</v>
      </c>
      <c r="H286" s="328">
        <f t="shared" si="39"/>
        <v>194177</v>
      </c>
      <c r="I286" s="328">
        <f t="shared" si="39"/>
        <v>173580</v>
      </c>
      <c r="J286" s="328">
        <f t="shared" si="39"/>
        <v>176371</v>
      </c>
      <c r="K286" s="328">
        <f t="shared" si="39"/>
        <v>181855</v>
      </c>
      <c r="L286" s="328">
        <f t="shared" si="39"/>
        <v>105311</v>
      </c>
      <c r="M286" s="328">
        <f t="shared" si="39"/>
        <v>181266.39999999997</v>
      </c>
      <c r="N286" s="328">
        <f t="shared" si="39"/>
        <v>192425</v>
      </c>
      <c r="O286" s="288"/>
      <c r="P286" s="202">
        <v>271</v>
      </c>
      <c r="Q286" s="210">
        <v>10</v>
      </c>
      <c r="R286" s="205" t="s">
        <v>263</v>
      </c>
      <c r="S286" s="206" t="s">
        <v>119</v>
      </c>
      <c r="T286" s="211">
        <v>300</v>
      </c>
      <c r="U286" s="211">
        <v>0</v>
      </c>
      <c r="V286" s="213">
        <v>188.59</v>
      </c>
      <c r="W286" s="213">
        <v>62.86</v>
      </c>
    </row>
    <row r="287" spans="1:23" s="45" customFormat="1" ht="15" customHeight="1" thickTop="1">
      <c r="A287" s="2"/>
      <c r="B287" s="2"/>
      <c r="C287" s="3"/>
      <c r="D287" s="47"/>
      <c r="E287" s="15"/>
      <c r="F287" s="105"/>
      <c r="G287" s="26"/>
      <c r="H287" s="26"/>
      <c r="I287" s="26"/>
      <c r="J287" s="26"/>
      <c r="K287" s="26"/>
      <c r="L287" s="26"/>
      <c r="M287" s="26"/>
      <c r="N287" s="26"/>
      <c r="O287" s="275"/>
      <c r="P287" s="202">
        <v>272</v>
      </c>
      <c r="Q287" s="210">
        <v>10</v>
      </c>
      <c r="R287" s="205" t="s">
        <v>264</v>
      </c>
      <c r="S287" s="206" t="s">
        <v>121</v>
      </c>
      <c r="T287" s="211">
        <v>400</v>
      </c>
      <c r="U287" s="211">
        <v>0</v>
      </c>
      <c r="V287" s="213">
        <v>0</v>
      </c>
      <c r="W287" s="213">
        <v>0</v>
      </c>
    </row>
    <row r="288" spans="1:23" s="45" customFormat="1" ht="15" customHeight="1">
      <c r="A288" s="2"/>
      <c r="B288" s="2"/>
      <c r="C288" s="3"/>
      <c r="D288" s="47" t="s">
        <v>3</v>
      </c>
      <c r="E288" s="15"/>
      <c r="F288" s="105"/>
      <c r="G288" s="26"/>
      <c r="H288" s="26"/>
      <c r="I288" s="26"/>
      <c r="J288" s="26"/>
      <c r="K288" s="26"/>
      <c r="L288" s="26"/>
      <c r="M288" s="26"/>
      <c r="N288" s="26"/>
      <c r="O288" s="275"/>
      <c r="P288" s="202">
        <v>273</v>
      </c>
      <c r="Q288" s="210">
        <v>10</v>
      </c>
      <c r="R288" s="205" t="s">
        <v>265</v>
      </c>
      <c r="S288" s="206" t="s">
        <v>123</v>
      </c>
      <c r="T288" s="211">
        <v>1100</v>
      </c>
      <c r="U288" s="211">
        <v>0</v>
      </c>
      <c r="V288" s="213">
        <v>279.5</v>
      </c>
      <c r="W288" s="213">
        <v>25.41</v>
      </c>
    </row>
    <row r="289" spans="1:23" s="45" customFormat="1" ht="15" customHeight="1">
      <c r="A289" s="2"/>
      <c r="B289" s="2"/>
      <c r="C289" s="3"/>
      <c r="D289" s="47"/>
      <c r="E289" s="15"/>
      <c r="F289" s="105"/>
      <c r="G289" s="26"/>
      <c r="H289" s="26"/>
      <c r="I289" s="26"/>
      <c r="J289" s="26"/>
      <c r="K289" s="26"/>
      <c r="L289" s="26"/>
      <c r="M289" s="26"/>
      <c r="N289" s="26"/>
      <c r="O289" s="275"/>
      <c r="P289" s="202">
        <v>274</v>
      </c>
      <c r="Q289" s="210">
        <v>10</v>
      </c>
      <c r="R289" s="205" t="s">
        <v>266</v>
      </c>
      <c r="S289" s="206" t="s">
        <v>125</v>
      </c>
      <c r="T289" s="211">
        <v>0</v>
      </c>
      <c r="U289" s="211">
        <v>0</v>
      </c>
      <c r="V289" s="213">
        <v>0</v>
      </c>
      <c r="W289" s="213">
        <v>0</v>
      </c>
    </row>
    <row r="290" spans="1:23" s="5" customFormat="1" ht="15" customHeight="1">
      <c r="A290" s="2"/>
      <c r="B290" s="2"/>
      <c r="C290" s="3"/>
      <c r="D290" s="47" t="s">
        <v>2023</v>
      </c>
      <c r="E290" s="15"/>
      <c r="F290" s="105"/>
      <c r="G290" s="26"/>
      <c r="H290" s="26"/>
      <c r="I290" s="26"/>
      <c r="J290" s="26"/>
      <c r="K290" s="26"/>
      <c r="L290" s="26"/>
      <c r="M290" s="26"/>
      <c r="N290" s="26"/>
      <c r="O290" s="282"/>
      <c r="P290" s="202">
        <v>275</v>
      </c>
      <c r="Q290" s="210">
        <v>10</v>
      </c>
      <c r="R290" s="205" t="s">
        <v>267</v>
      </c>
      <c r="S290" s="206" t="s">
        <v>106</v>
      </c>
      <c r="T290" s="211">
        <v>0</v>
      </c>
      <c r="U290" s="211">
        <v>0</v>
      </c>
      <c r="V290" s="213">
        <v>0</v>
      </c>
      <c r="W290" s="213">
        <v>0</v>
      </c>
    </row>
    <row r="291" spans="1:23" ht="15" customHeight="1">
      <c r="G291" s="26"/>
      <c r="H291" s="26"/>
      <c r="I291" s="26"/>
      <c r="J291" s="26"/>
      <c r="K291" s="26"/>
      <c r="L291" s="26"/>
      <c r="M291" s="26"/>
      <c r="N291" s="26"/>
      <c r="P291" s="202">
        <v>276</v>
      </c>
      <c r="Q291" s="210">
        <v>10</v>
      </c>
      <c r="R291" s="205" t="s">
        <v>268</v>
      </c>
      <c r="S291" s="206" t="s">
        <v>200</v>
      </c>
      <c r="T291" s="211">
        <v>0</v>
      </c>
      <c r="U291" s="211">
        <v>0</v>
      </c>
      <c r="V291" s="213">
        <v>0</v>
      </c>
      <c r="W291" s="213">
        <v>0</v>
      </c>
    </row>
    <row r="292" spans="1:23" ht="15" customHeight="1">
      <c r="C292" s="3">
        <v>10</v>
      </c>
      <c r="D292" s="15" t="s">
        <v>248</v>
      </c>
      <c r="E292" s="312" t="s">
        <v>79</v>
      </c>
      <c r="G292" s="26">
        <v>62584</v>
      </c>
      <c r="H292" s="26">
        <v>49902</v>
      </c>
      <c r="I292" s="26">
        <v>52152</v>
      </c>
      <c r="J292" s="26">
        <v>57168</v>
      </c>
      <c r="K292" s="26">
        <v>58300</v>
      </c>
      <c r="L292" s="26">
        <v>34006</v>
      </c>
      <c r="M292" s="26">
        <f>43722*1.33</f>
        <v>58150.26</v>
      </c>
      <c r="N292" s="26">
        <v>59827</v>
      </c>
      <c r="P292" s="202">
        <v>277</v>
      </c>
      <c r="Q292" s="210">
        <v>10</v>
      </c>
      <c r="R292" s="205" t="s">
        <v>269</v>
      </c>
      <c r="S292" s="206" t="s">
        <v>202</v>
      </c>
      <c r="T292" s="211">
        <v>0</v>
      </c>
      <c r="U292" s="211">
        <v>0</v>
      </c>
      <c r="V292" s="213">
        <v>0</v>
      </c>
      <c r="W292" s="213">
        <v>0</v>
      </c>
    </row>
    <row r="293" spans="1:23" ht="15" customHeight="1">
      <c r="C293" s="3">
        <v>10</v>
      </c>
      <c r="D293" s="15" t="s">
        <v>249</v>
      </c>
      <c r="E293" s="312" t="s">
        <v>81</v>
      </c>
      <c r="G293" s="26">
        <v>7491</v>
      </c>
      <c r="H293" s="26">
        <v>6659</v>
      </c>
      <c r="I293" s="26">
        <v>6696</v>
      </c>
      <c r="J293" s="26">
        <v>6659</v>
      </c>
      <c r="K293" s="26">
        <v>6659</v>
      </c>
      <c r="L293" s="26">
        <v>3876</v>
      </c>
      <c r="M293" s="26">
        <f>4985*1.33</f>
        <v>6630.05</v>
      </c>
      <c r="N293" s="26">
        <v>6659</v>
      </c>
      <c r="P293" s="202">
        <v>278</v>
      </c>
      <c r="Q293" s="210">
        <v>10</v>
      </c>
      <c r="R293" s="205" t="s">
        <v>270</v>
      </c>
      <c r="S293" s="206" t="s">
        <v>132</v>
      </c>
      <c r="T293" s="211">
        <v>0</v>
      </c>
      <c r="U293" s="211">
        <v>0</v>
      </c>
      <c r="V293" s="213">
        <v>0</v>
      </c>
      <c r="W293" s="213">
        <v>0</v>
      </c>
    </row>
    <row r="294" spans="1:23" ht="15" customHeight="1">
      <c r="C294" s="3">
        <v>10</v>
      </c>
      <c r="D294" s="15" t="s">
        <v>250</v>
      </c>
      <c r="E294" s="312" t="s">
        <v>83</v>
      </c>
      <c r="G294" s="26">
        <v>0</v>
      </c>
      <c r="H294" s="26">
        <v>45</v>
      </c>
      <c r="I294" s="26">
        <v>0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P294" s="202">
        <v>279</v>
      </c>
      <c r="Q294" s="210">
        <v>10</v>
      </c>
      <c r="R294" s="205" t="s">
        <v>271</v>
      </c>
      <c r="S294" s="206" t="s">
        <v>206</v>
      </c>
      <c r="T294" s="211">
        <v>200</v>
      </c>
      <c r="U294" s="211">
        <v>11.52</v>
      </c>
      <c r="V294" s="213">
        <v>66.14</v>
      </c>
      <c r="W294" s="213">
        <v>33.07</v>
      </c>
    </row>
    <row r="295" spans="1:23" ht="15" customHeight="1">
      <c r="C295" s="3">
        <v>10</v>
      </c>
      <c r="D295" s="15" t="s">
        <v>251</v>
      </c>
      <c r="E295" s="312" t="s">
        <v>85</v>
      </c>
      <c r="G295" s="26">
        <v>128</v>
      </c>
      <c r="H295" s="26">
        <v>0</v>
      </c>
      <c r="I295" s="26">
        <v>189</v>
      </c>
      <c r="J295" s="26">
        <v>72</v>
      </c>
      <c r="K295" s="26">
        <v>193</v>
      </c>
      <c r="L295" s="26">
        <v>261</v>
      </c>
      <c r="M295" s="26">
        <f>261*1.33</f>
        <v>347.13</v>
      </c>
      <c r="N295" s="26">
        <v>355</v>
      </c>
      <c r="P295" s="202">
        <v>280</v>
      </c>
      <c r="Q295" s="210">
        <v>10</v>
      </c>
      <c r="R295" s="205" t="s">
        <v>272</v>
      </c>
      <c r="S295" s="206" t="s">
        <v>208</v>
      </c>
      <c r="T295" s="211">
        <v>0</v>
      </c>
      <c r="U295" s="211">
        <v>0</v>
      </c>
      <c r="V295" s="213">
        <v>0</v>
      </c>
      <c r="W295" s="213">
        <v>0</v>
      </c>
    </row>
    <row r="296" spans="1:23" ht="15" customHeight="1">
      <c r="C296" s="3">
        <v>10</v>
      </c>
      <c r="D296" s="15" t="s">
        <v>252</v>
      </c>
      <c r="E296" s="312" t="s">
        <v>87</v>
      </c>
      <c r="G296" s="26">
        <v>4666</v>
      </c>
      <c r="H296" s="26">
        <v>3630</v>
      </c>
      <c r="I296" s="26">
        <v>3822</v>
      </c>
      <c r="J296" s="26">
        <v>4206</v>
      </c>
      <c r="K296" s="26">
        <v>4472</v>
      </c>
      <c r="L296" s="26">
        <v>2501</v>
      </c>
      <c r="M296" s="26">
        <f>3224*1.33</f>
        <v>4287.92</v>
      </c>
      <c r="N296" s="26">
        <v>4607</v>
      </c>
      <c r="P296" s="202">
        <v>281</v>
      </c>
      <c r="Q296" s="210">
        <v>10</v>
      </c>
      <c r="R296" s="205" t="s">
        <v>273</v>
      </c>
      <c r="S296" s="206" t="s">
        <v>134</v>
      </c>
      <c r="T296" s="211">
        <v>0</v>
      </c>
      <c r="U296" s="211">
        <v>0</v>
      </c>
      <c r="V296" s="213">
        <v>0</v>
      </c>
      <c r="W296" s="213">
        <v>0</v>
      </c>
    </row>
    <row r="297" spans="1:23" ht="15" customHeight="1">
      <c r="C297" s="3">
        <v>10</v>
      </c>
      <c r="D297" s="15" t="s">
        <v>253</v>
      </c>
      <c r="E297" s="312" t="s">
        <v>89</v>
      </c>
      <c r="G297" s="26">
        <v>8955</v>
      </c>
      <c r="H297" s="26">
        <v>7197</v>
      </c>
      <c r="I297" s="26">
        <v>7937</v>
      </c>
      <c r="J297" s="26">
        <v>9222</v>
      </c>
      <c r="K297" s="26">
        <v>9363</v>
      </c>
      <c r="L297" s="26">
        <v>5563</v>
      </c>
      <c r="M297" s="26">
        <f>7150*1.33</f>
        <v>9509.5</v>
      </c>
      <c r="N297" s="26">
        <v>10529</v>
      </c>
      <c r="P297" s="202">
        <v>282</v>
      </c>
      <c r="Q297" s="210">
        <v>10</v>
      </c>
      <c r="R297" s="205" t="s">
        <v>2623</v>
      </c>
      <c r="S297" s="206"/>
      <c r="T297" s="211"/>
      <c r="U297" s="211"/>
      <c r="V297" s="213"/>
      <c r="W297" s="213"/>
    </row>
    <row r="298" spans="1:23" ht="15" customHeight="1">
      <c r="C298" s="3">
        <v>10</v>
      </c>
      <c r="D298" s="15" t="s">
        <v>254</v>
      </c>
      <c r="E298" s="312" t="s">
        <v>91</v>
      </c>
      <c r="G298" s="26">
        <v>0</v>
      </c>
      <c r="H298" s="26">
        <v>0</v>
      </c>
      <c r="I298" s="26">
        <v>0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P298" s="202">
        <v>283</v>
      </c>
      <c r="Q298" s="210">
        <v>10</v>
      </c>
      <c r="R298" s="205" t="s">
        <v>104</v>
      </c>
      <c r="S298" s="206"/>
      <c r="T298" s="211">
        <v>4000</v>
      </c>
      <c r="U298" s="211">
        <v>72.3</v>
      </c>
      <c r="V298" s="213">
        <v>1275.8699999999999</v>
      </c>
      <c r="W298" s="213">
        <v>0</v>
      </c>
    </row>
    <row r="299" spans="1:23" ht="15" customHeight="1">
      <c r="C299" s="3">
        <v>10</v>
      </c>
      <c r="D299" s="15" t="s">
        <v>255</v>
      </c>
      <c r="E299" s="312" t="s">
        <v>93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P299" s="202">
        <v>284</v>
      </c>
      <c r="Q299" s="210">
        <v>10</v>
      </c>
      <c r="R299" s="205" t="s">
        <v>135</v>
      </c>
      <c r="S299" s="206"/>
      <c r="T299" s="211"/>
      <c r="U299" s="211"/>
      <c r="V299" s="213"/>
      <c r="W299" s="213"/>
    </row>
    <row r="300" spans="1:23" ht="15" customHeight="1">
      <c r="C300" s="3">
        <v>10</v>
      </c>
      <c r="D300" s="15" t="s">
        <v>256</v>
      </c>
      <c r="E300" s="312" t="s">
        <v>95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P300" s="202">
        <v>285</v>
      </c>
      <c r="Q300" s="210">
        <v>10</v>
      </c>
      <c r="R300" s="205" t="s">
        <v>2626</v>
      </c>
      <c r="S300" s="206"/>
      <c r="T300" s="211"/>
      <c r="U300" s="211"/>
      <c r="V300" s="213"/>
      <c r="W300" s="213"/>
    </row>
    <row r="301" spans="1:23" ht="15" customHeight="1">
      <c r="C301" s="3">
        <v>10</v>
      </c>
      <c r="D301" s="15" t="s">
        <v>257</v>
      </c>
      <c r="E301" s="312" t="s">
        <v>97</v>
      </c>
      <c r="G301" s="26">
        <v>570</v>
      </c>
      <c r="H301" s="26">
        <v>0</v>
      </c>
      <c r="I301" s="26">
        <v>0</v>
      </c>
      <c r="J301" s="26">
        <v>0</v>
      </c>
      <c r="K301" s="26">
        <v>150</v>
      </c>
      <c r="L301" s="26">
        <v>88</v>
      </c>
      <c r="M301" s="26">
        <f>120*1.33</f>
        <v>159.60000000000002</v>
      </c>
      <c r="N301" s="26">
        <v>236</v>
      </c>
      <c r="P301" s="202">
        <v>286</v>
      </c>
      <c r="Q301" s="210">
        <v>10</v>
      </c>
      <c r="R301" s="205" t="s">
        <v>274</v>
      </c>
      <c r="S301" s="206" t="s">
        <v>137</v>
      </c>
      <c r="T301" s="211">
        <v>700</v>
      </c>
      <c r="U301" s="211">
        <v>49.34</v>
      </c>
      <c r="V301" s="213">
        <v>442.93</v>
      </c>
      <c r="W301" s="213">
        <v>63.28</v>
      </c>
    </row>
    <row r="302" spans="1:23" ht="15" customHeight="1">
      <c r="C302" s="3">
        <v>10</v>
      </c>
      <c r="D302" s="15" t="s">
        <v>258</v>
      </c>
      <c r="E302" s="312" t="s">
        <v>99</v>
      </c>
      <c r="G302" s="26">
        <v>117</v>
      </c>
      <c r="H302" s="26">
        <v>59</v>
      </c>
      <c r="I302" s="26">
        <v>59</v>
      </c>
      <c r="J302" s="26">
        <v>59</v>
      </c>
      <c r="K302" s="26">
        <v>59</v>
      </c>
      <c r="L302" s="26">
        <v>57</v>
      </c>
      <c r="M302" s="26">
        <f>57*1.33</f>
        <v>75.81</v>
      </c>
      <c r="N302" s="26">
        <v>76</v>
      </c>
      <c r="P302" s="202">
        <v>287</v>
      </c>
      <c r="Q302" s="210">
        <v>10</v>
      </c>
      <c r="R302" s="205" t="s">
        <v>275</v>
      </c>
      <c r="S302" s="206" t="s">
        <v>216</v>
      </c>
      <c r="T302" s="211">
        <v>0</v>
      </c>
      <c r="U302" s="211">
        <v>0</v>
      </c>
      <c r="V302" s="213">
        <v>0</v>
      </c>
      <c r="W302" s="213">
        <v>0</v>
      </c>
    </row>
    <row r="303" spans="1:23" ht="15" customHeight="1">
      <c r="C303" s="3">
        <v>10</v>
      </c>
      <c r="D303" s="15" t="s">
        <v>259</v>
      </c>
      <c r="E303" s="312" t="s">
        <v>101</v>
      </c>
      <c r="G303" s="26">
        <v>0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P303" s="202">
        <v>288</v>
      </c>
      <c r="Q303" s="210">
        <v>10</v>
      </c>
      <c r="R303" s="205" t="s">
        <v>276</v>
      </c>
      <c r="S303" s="206" t="s">
        <v>139</v>
      </c>
      <c r="T303" s="211">
        <v>500</v>
      </c>
      <c r="U303" s="211">
        <v>126.51</v>
      </c>
      <c r="V303" s="213">
        <v>779.15</v>
      </c>
      <c r="W303" s="213">
        <v>155.83000000000001</v>
      </c>
    </row>
    <row r="304" spans="1:23" ht="15" customHeight="1">
      <c r="C304" s="3">
        <v>10</v>
      </c>
      <c r="D304" s="15" t="s">
        <v>260</v>
      </c>
      <c r="E304" s="312" t="s">
        <v>103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P304" s="202">
        <v>289</v>
      </c>
      <c r="Q304" s="210">
        <v>10</v>
      </c>
      <c r="R304" s="205" t="s">
        <v>277</v>
      </c>
      <c r="S304" s="206" t="s">
        <v>141</v>
      </c>
      <c r="T304" s="211">
        <v>0</v>
      </c>
      <c r="U304" s="211">
        <v>0</v>
      </c>
      <c r="V304" s="213">
        <v>0</v>
      </c>
      <c r="W304" s="213">
        <v>0</v>
      </c>
    </row>
    <row r="305" spans="1:23" ht="15" customHeight="1">
      <c r="G305" s="26"/>
      <c r="H305" s="26"/>
      <c r="I305" s="26"/>
      <c r="J305" s="26"/>
      <c r="K305" s="26"/>
      <c r="L305" s="26"/>
      <c r="M305" s="26"/>
      <c r="N305" s="26"/>
      <c r="P305" s="202">
        <v>290</v>
      </c>
      <c r="Q305" s="210">
        <v>10</v>
      </c>
      <c r="R305" s="205" t="s">
        <v>278</v>
      </c>
      <c r="S305" s="206" t="s">
        <v>143</v>
      </c>
      <c r="T305" s="211">
        <v>0</v>
      </c>
      <c r="U305" s="211">
        <v>0</v>
      </c>
      <c r="V305" s="213">
        <v>0</v>
      </c>
      <c r="W305" s="213">
        <v>0</v>
      </c>
    </row>
    <row r="306" spans="1:23" s="72" customFormat="1" ht="15" customHeight="1">
      <c r="A306" s="5" t="s">
        <v>2410</v>
      </c>
      <c r="B306" s="5" t="s">
        <v>2317</v>
      </c>
      <c r="C306" s="3"/>
      <c r="D306" s="323" t="s">
        <v>2024</v>
      </c>
      <c r="E306" s="323"/>
      <c r="F306" s="324"/>
      <c r="G306" s="325">
        <f>SUM(G290:G305)</f>
        <v>84511</v>
      </c>
      <c r="H306" s="325">
        <f t="shared" ref="H306:N306" si="40">SUM(H290:H305)</f>
        <v>67492</v>
      </c>
      <c r="I306" s="325">
        <f t="shared" si="40"/>
        <v>70855</v>
      </c>
      <c r="J306" s="325">
        <f t="shared" si="40"/>
        <v>77386</v>
      </c>
      <c r="K306" s="325">
        <f t="shared" si="40"/>
        <v>79196</v>
      </c>
      <c r="L306" s="325">
        <f t="shared" si="40"/>
        <v>46352</v>
      </c>
      <c r="M306" s="325">
        <f t="shared" si="40"/>
        <v>79160.27</v>
      </c>
      <c r="N306" s="325">
        <f t="shared" si="40"/>
        <v>82289</v>
      </c>
      <c r="O306" s="286"/>
      <c r="P306" s="202">
        <v>291</v>
      </c>
      <c r="Q306" s="210">
        <v>10</v>
      </c>
      <c r="R306" s="205" t="s">
        <v>279</v>
      </c>
      <c r="S306" s="206" t="s">
        <v>145</v>
      </c>
      <c r="T306" s="211">
        <v>0</v>
      </c>
      <c r="U306" s="211">
        <v>0</v>
      </c>
      <c r="V306" s="213">
        <v>0</v>
      </c>
      <c r="W306" s="213">
        <v>0</v>
      </c>
    </row>
    <row r="307" spans="1:23" s="46" customFormat="1" ht="15" customHeight="1">
      <c r="A307" s="2"/>
      <c r="B307" s="2"/>
      <c r="C307" s="3"/>
      <c r="D307" s="47"/>
      <c r="E307" s="47"/>
      <c r="F307" s="191"/>
      <c r="G307" s="48"/>
      <c r="H307" s="48"/>
      <c r="I307" s="48"/>
      <c r="J307" s="48"/>
      <c r="K307" s="48"/>
      <c r="L307" s="48"/>
      <c r="M307" s="48"/>
      <c r="N307" s="48"/>
      <c r="O307" s="289"/>
      <c r="P307" s="202">
        <v>292</v>
      </c>
      <c r="Q307" s="210">
        <v>10</v>
      </c>
      <c r="R307" s="205" t="s">
        <v>280</v>
      </c>
      <c r="S307" s="206" t="s">
        <v>147</v>
      </c>
      <c r="T307" s="211">
        <v>0</v>
      </c>
      <c r="U307" s="211">
        <v>0</v>
      </c>
      <c r="V307" s="213">
        <v>0</v>
      </c>
      <c r="W307" s="213">
        <v>0</v>
      </c>
    </row>
    <row r="308" spans="1:23" s="5" customFormat="1" ht="15" customHeight="1">
      <c r="A308" s="2"/>
      <c r="B308" s="2"/>
      <c r="C308" s="3"/>
      <c r="D308" s="47" t="s">
        <v>2025</v>
      </c>
      <c r="E308" s="15"/>
      <c r="F308" s="105"/>
      <c r="G308" s="26"/>
      <c r="H308" s="26"/>
      <c r="I308" s="26"/>
      <c r="J308" s="26"/>
      <c r="K308" s="26"/>
      <c r="L308" s="26"/>
      <c r="M308" s="26"/>
      <c r="N308" s="26"/>
      <c r="O308" s="282"/>
      <c r="P308" s="202">
        <v>293</v>
      </c>
      <c r="Q308" s="210">
        <v>10</v>
      </c>
      <c r="R308" s="205" t="s">
        <v>281</v>
      </c>
      <c r="S308" s="206" t="s">
        <v>282</v>
      </c>
      <c r="T308" s="211">
        <v>6000</v>
      </c>
      <c r="U308" s="211">
        <v>0</v>
      </c>
      <c r="V308" s="213">
        <v>3112</v>
      </c>
      <c r="W308" s="213">
        <v>51.87</v>
      </c>
    </row>
    <row r="309" spans="1:23" ht="15" customHeight="1">
      <c r="G309" s="26"/>
      <c r="H309" s="26"/>
      <c r="I309" s="26"/>
      <c r="J309" s="26"/>
      <c r="K309" s="26"/>
      <c r="L309" s="26"/>
      <c r="M309" s="26"/>
      <c r="N309" s="26"/>
      <c r="P309" s="202">
        <v>294</v>
      </c>
      <c r="Q309" s="210">
        <v>10</v>
      </c>
      <c r="R309" s="205" t="s">
        <v>283</v>
      </c>
      <c r="S309" s="206" t="s">
        <v>149</v>
      </c>
      <c r="T309" s="211">
        <v>0</v>
      </c>
      <c r="U309" s="211">
        <v>0</v>
      </c>
      <c r="V309" s="213">
        <v>0</v>
      </c>
      <c r="W309" s="213">
        <v>0</v>
      </c>
    </row>
    <row r="310" spans="1:23" ht="15" customHeight="1">
      <c r="C310" s="3">
        <v>10</v>
      </c>
      <c r="D310" s="15" t="s">
        <v>261</v>
      </c>
      <c r="E310" s="312" t="s">
        <v>115</v>
      </c>
      <c r="G310" s="26">
        <v>12</v>
      </c>
      <c r="H310" s="26">
        <v>1527</v>
      </c>
      <c r="I310" s="26">
        <v>1228</v>
      </c>
      <c r="J310" s="26">
        <v>1557</v>
      </c>
      <c r="K310" s="26">
        <v>2000</v>
      </c>
      <c r="L310" s="26">
        <v>681</v>
      </c>
      <c r="M310" s="26">
        <v>2000</v>
      </c>
      <c r="N310" s="26">
        <v>1500</v>
      </c>
      <c r="O310" s="285"/>
      <c r="P310" s="202">
        <v>295</v>
      </c>
      <c r="Q310" s="210">
        <v>10</v>
      </c>
      <c r="R310" s="205" t="s">
        <v>284</v>
      </c>
      <c r="S310" s="206" t="s">
        <v>151</v>
      </c>
      <c r="T310" s="211">
        <v>500</v>
      </c>
      <c r="U310" s="211">
        <v>0</v>
      </c>
      <c r="V310" s="213">
        <v>460</v>
      </c>
      <c r="W310" s="213">
        <v>92</v>
      </c>
    </row>
    <row r="311" spans="1:23" ht="15" customHeight="1">
      <c r="C311" s="3">
        <v>10</v>
      </c>
      <c r="D311" s="15" t="s">
        <v>262</v>
      </c>
      <c r="E311" s="312" t="s">
        <v>117</v>
      </c>
      <c r="G311" s="26">
        <v>11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85"/>
      <c r="P311" s="202">
        <v>296</v>
      </c>
      <c r="Q311" s="210">
        <v>10</v>
      </c>
      <c r="R311" s="205" t="s">
        <v>285</v>
      </c>
      <c r="S311" s="206" t="s">
        <v>153</v>
      </c>
      <c r="T311" s="211">
        <v>2500</v>
      </c>
      <c r="U311" s="211">
        <v>188.6</v>
      </c>
      <c r="V311" s="213">
        <v>1750.37</v>
      </c>
      <c r="W311" s="213">
        <v>70.010000000000005</v>
      </c>
    </row>
    <row r="312" spans="1:23" ht="15" customHeight="1">
      <c r="C312" s="3">
        <v>10</v>
      </c>
      <c r="D312" s="15" t="s">
        <v>263</v>
      </c>
      <c r="E312" s="312" t="s">
        <v>119</v>
      </c>
      <c r="G312" s="26">
        <v>160</v>
      </c>
      <c r="H312" s="26">
        <v>229</v>
      </c>
      <c r="I312" s="26">
        <v>264</v>
      </c>
      <c r="J312" s="26">
        <v>256</v>
      </c>
      <c r="K312" s="26">
        <v>300</v>
      </c>
      <c r="L312" s="26">
        <v>189</v>
      </c>
      <c r="M312" s="26">
        <v>550</v>
      </c>
      <c r="N312" s="26">
        <v>600</v>
      </c>
      <c r="O312" s="285"/>
      <c r="P312" s="202">
        <v>297</v>
      </c>
      <c r="Q312" s="210">
        <v>10</v>
      </c>
      <c r="R312" s="205" t="s">
        <v>286</v>
      </c>
      <c r="S312" s="206" t="s">
        <v>157</v>
      </c>
      <c r="T312" s="211">
        <v>0</v>
      </c>
      <c r="U312" s="211">
        <v>0</v>
      </c>
      <c r="V312" s="213">
        <v>0</v>
      </c>
      <c r="W312" s="213">
        <v>0</v>
      </c>
    </row>
    <row r="313" spans="1:23" ht="15" customHeight="1">
      <c r="C313" s="3">
        <v>10</v>
      </c>
      <c r="D313" s="15" t="s">
        <v>264</v>
      </c>
      <c r="E313" s="312" t="s">
        <v>121</v>
      </c>
      <c r="G313" s="26">
        <v>402</v>
      </c>
      <c r="H313" s="26">
        <v>91</v>
      </c>
      <c r="I313" s="26">
        <v>163</v>
      </c>
      <c r="J313" s="26">
        <v>6</v>
      </c>
      <c r="K313" s="26">
        <v>400</v>
      </c>
      <c r="L313" s="26">
        <v>0</v>
      </c>
      <c r="M313" s="26">
        <v>100</v>
      </c>
      <c r="N313" s="26">
        <v>100</v>
      </c>
      <c r="O313" s="285"/>
      <c r="P313" s="202">
        <v>298</v>
      </c>
      <c r="Q313" s="210">
        <v>10</v>
      </c>
      <c r="R313" s="205" t="s">
        <v>287</v>
      </c>
      <c r="S313" s="206" t="s">
        <v>159</v>
      </c>
      <c r="T313" s="211">
        <v>0</v>
      </c>
      <c r="U313" s="211">
        <v>0</v>
      </c>
      <c r="V313" s="213">
        <v>0</v>
      </c>
      <c r="W313" s="213">
        <v>0</v>
      </c>
    </row>
    <row r="314" spans="1:23" ht="15" customHeight="1">
      <c r="C314" s="3">
        <v>10</v>
      </c>
      <c r="D314" s="15" t="s">
        <v>265</v>
      </c>
      <c r="E314" s="312" t="s">
        <v>123</v>
      </c>
      <c r="G314" s="26">
        <v>639</v>
      </c>
      <c r="H314" s="26">
        <v>583</v>
      </c>
      <c r="I314" s="26">
        <v>1625</v>
      </c>
      <c r="J314" s="26">
        <v>2444</v>
      </c>
      <c r="K314" s="26">
        <v>1100</v>
      </c>
      <c r="L314" s="26">
        <v>280</v>
      </c>
      <c r="M314" s="26">
        <v>1800</v>
      </c>
      <c r="N314" s="26">
        <v>2000</v>
      </c>
      <c r="O314" s="285"/>
      <c r="P314" s="202">
        <v>299</v>
      </c>
      <c r="Q314" s="210">
        <v>10</v>
      </c>
      <c r="R314" s="205" t="s">
        <v>288</v>
      </c>
      <c r="S314" s="206" t="s">
        <v>229</v>
      </c>
      <c r="T314" s="211">
        <v>0</v>
      </c>
      <c r="U314" s="211">
        <v>0</v>
      </c>
      <c r="V314" s="213">
        <v>0</v>
      </c>
      <c r="W314" s="213">
        <v>0</v>
      </c>
    </row>
    <row r="315" spans="1:23" ht="15" customHeight="1">
      <c r="C315" s="3">
        <v>10</v>
      </c>
      <c r="D315" s="15" t="s">
        <v>266</v>
      </c>
      <c r="E315" s="312" t="s">
        <v>125</v>
      </c>
      <c r="G315" s="26">
        <v>1432</v>
      </c>
      <c r="H315" s="26">
        <v>0</v>
      </c>
      <c r="I315" s="26">
        <v>0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85"/>
      <c r="P315" s="202">
        <v>300</v>
      </c>
      <c r="Q315" s="210">
        <v>10</v>
      </c>
      <c r="R315" s="205" t="s">
        <v>289</v>
      </c>
      <c r="S315" s="206" t="s">
        <v>162</v>
      </c>
      <c r="T315" s="211">
        <v>0</v>
      </c>
      <c r="U315" s="211">
        <v>165</v>
      </c>
      <c r="V315" s="213">
        <v>546.70000000000005</v>
      </c>
      <c r="W315" s="213">
        <v>0</v>
      </c>
    </row>
    <row r="316" spans="1:23" ht="15" customHeight="1">
      <c r="C316" s="3">
        <v>10</v>
      </c>
      <c r="D316" s="15" t="s">
        <v>267</v>
      </c>
      <c r="E316" s="312" t="s">
        <v>106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85"/>
      <c r="P316" s="202">
        <v>301</v>
      </c>
      <c r="Q316" s="210">
        <v>10</v>
      </c>
      <c r="R316" s="205" t="s">
        <v>2623</v>
      </c>
      <c r="S316" s="206"/>
      <c r="T316" s="211"/>
      <c r="U316" s="211"/>
      <c r="V316" s="213"/>
      <c r="W316" s="213"/>
    </row>
    <row r="317" spans="1:23" ht="15" customHeight="1">
      <c r="C317" s="3">
        <v>10</v>
      </c>
      <c r="D317" s="15" t="s">
        <v>268</v>
      </c>
      <c r="E317" s="312" t="s">
        <v>200</v>
      </c>
      <c r="G317" s="26">
        <v>5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85"/>
      <c r="P317" s="202">
        <v>302</v>
      </c>
      <c r="Q317" s="210">
        <v>10</v>
      </c>
      <c r="R317" s="205" t="s">
        <v>135</v>
      </c>
      <c r="S317" s="206"/>
      <c r="T317" s="211">
        <v>10200</v>
      </c>
      <c r="U317" s="211">
        <v>529.45000000000005</v>
      </c>
      <c r="V317" s="213">
        <v>7091.15</v>
      </c>
      <c r="W317" s="213">
        <v>0</v>
      </c>
    </row>
    <row r="318" spans="1:23" ht="15" customHeight="1">
      <c r="C318" s="3">
        <v>10</v>
      </c>
      <c r="D318" s="15" t="s">
        <v>269</v>
      </c>
      <c r="E318" s="312" t="s">
        <v>202</v>
      </c>
      <c r="G318" s="26">
        <v>0</v>
      </c>
      <c r="H318" s="26">
        <v>0</v>
      </c>
      <c r="I318" s="26">
        <v>0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85"/>
      <c r="P318" s="202">
        <v>303</v>
      </c>
      <c r="Q318" s="210">
        <v>10</v>
      </c>
      <c r="R318" s="205" t="s">
        <v>163</v>
      </c>
      <c r="S318" s="206"/>
      <c r="T318" s="211"/>
      <c r="U318" s="211"/>
      <c r="V318" s="213"/>
      <c r="W318" s="213"/>
    </row>
    <row r="319" spans="1:23" ht="15" customHeight="1">
      <c r="C319" s="3">
        <v>10</v>
      </c>
      <c r="D319" s="15" t="s">
        <v>270</v>
      </c>
      <c r="E319" s="312" t="s">
        <v>132</v>
      </c>
      <c r="G319" s="26">
        <v>0</v>
      </c>
      <c r="H319" s="26">
        <v>333</v>
      </c>
      <c r="I319" s="26">
        <v>0</v>
      </c>
      <c r="J319" s="26">
        <v>24</v>
      </c>
      <c r="K319" s="26">
        <v>0</v>
      </c>
      <c r="L319" s="26">
        <v>0</v>
      </c>
      <c r="M319" s="26">
        <v>0</v>
      </c>
      <c r="N319" s="26">
        <v>0</v>
      </c>
      <c r="O319" s="285"/>
      <c r="P319" s="202">
        <v>304</v>
      </c>
      <c r="Q319" s="210">
        <v>10</v>
      </c>
      <c r="R319" s="205" t="s">
        <v>2627</v>
      </c>
      <c r="S319" s="206"/>
      <c r="T319" s="211"/>
      <c r="U319" s="211"/>
      <c r="V319" s="213"/>
      <c r="W319" s="213"/>
    </row>
    <row r="320" spans="1:23" ht="15" customHeight="1">
      <c r="C320" s="3">
        <v>10</v>
      </c>
      <c r="D320" s="15" t="s">
        <v>271</v>
      </c>
      <c r="E320" s="312" t="s">
        <v>206</v>
      </c>
      <c r="G320" s="26">
        <v>0</v>
      </c>
      <c r="H320" s="26">
        <v>98</v>
      </c>
      <c r="I320" s="26">
        <v>138</v>
      </c>
      <c r="J320" s="26">
        <v>96</v>
      </c>
      <c r="K320" s="26">
        <v>200</v>
      </c>
      <c r="L320" s="26">
        <v>55</v>
      </c>
      <c r="M320" s="26">
        <v>100</v>
      </c>
      <c r="N320" s="26">
        <v>0</v>
      </c>
      <c r="O320" s="285"/>
      <c r="P320" s="202">
        <v>305</v>
      </c>
      <c r="Q320" s="210">
        <v>10</v>
      </c>
      <c r="R320" s="205" t="s">
        <v>290</v>
      </c>
      <c r="S320" s="206" t="s">
        <v>291</v>
      </c>
      <c r="T320" s="211">
        <v>0</v>
      </c>
      <c r="U320" s="211">
        <v>0</v>
      </c>
      <c r="V320" s="213">
        <v>0</v>
      </c>
      <c r="W320" s="213">
        <v>0</v>
      </c>
    </row>
    <row r="321" spans="1:23" ht="15" customHeight="1">
      <c r="C321" s="3">
        <v>10</v>
      </c>
      <c r="D321" s="15" t="s">
        <v>272</v>
      </c>
      <c r="E321" s="312" t="s">
        <v>208</v>
      </c>
      <c r="G321" s="26">
        <v>4</v>
      </c>
      <c r="H321" s="26">
        <v>0</v>
      </c>
      <c r="I321" s="26">
        <v>0</v>
      </c>
      <c r="J321" s="26">
        <v>0</v>
      </c>
      <c r="K321" s="26">
        <v>0</v>
      </c>
      <c r="L321" s="26">
        <v>0</v>
      </c>
      <c r="M321" s="26">
        <v>0</v>
      </c>
      <c r="N321" s="26">
        <v>0</v>
      </c>
      <c r="O321" s="285"/>
      <c r="P321" s="202">
        <v>306</v>
      </c>
      <c r="Q321" s="210">
        <v>10</v>
      </c>
      <c r="R321" s="205" t="s">
        <v>292</v>
      </c>
      <c r="S321" s="206" t="s">
        <v>165</v>
      </c>
      <c r="T321" s="211">
        <v>0</v>
      </c>
      <c r="U321" s="211">
        <v>0</v>
      </c>
      <c r="V321" s="213">
        <v>0</v>
      </c>
      <c r="W321" s="213">
        <v>0</v>
      </c>
    </row>
    <row r="322" spans="1:23" ht="15" customHeight="1">
      <c r="C322" s="3">
        <v>10</v>
      </c>
      <c r="D322" s="15" t="s">
        <v>273</v>
      </c>
      <c r="E322" s="312" t="s">
        <v>134</v>
      </c>
      <c r="G322" s="26">
        <v>0</v>
      </c>
      <c r="H322" s="26">
        <v>0</v>
      </c>
      <c r="I322" s="26">
        <v>0</v>
      </c>
      <c r="J322" s="26">
        <v>0</v>
      </c>
      <c r="K322" s="26">
        <v>0</v>
      </c>
      <c r="L322" s="26">
        <v>0</v>
      </c>
      <c r="M322" s="26">
        <v>0</v>
      </c>
      <c r="N322" s="26">
        <v>0</v>
      </c>
      <c r="O322" s="285"/>
      <c r="P322" s="202">
        <v>307</v>
      </c>
      <c r="Q322" s="210">
        <v>10</v>
      </c>
      <c r="R322" s="205" t="s">
        <v>293</v>
      </c>
      <c r="S322" s="206" t="s">
        <v>167</v>
      </c>
      <c r="T322" s="211">
        <v>0</v>
      </c>
      <c r="U322" s="211">
        <v>0</v>
      </c>
      <c r="V322" s="213">
        <v>0</v>
      </c>
      <c r="W322" s="213">
        <v>0</v>
      </c>
    </row>
    <row r="323" spans="1:23" ht="15" customHeight="1">
      <c r="G323" s="26"/>
      <c r="H323" s="26"/>
      <c r="I323" s="26"/>
      <c r="J323" s="26"/>
      <c r="K323" s="26"/>
      <c r="L323" s="26"/>
      <c r="M323" s="26"/>
      <c r="N323" s="26"/>
      <c r="P323" s="202">
        <v>308</v>
      </c>
      <c r="Q323" s="210">
        <v>10</v>
      </c>
      <c r="R323" s="205" t="s">
        <v>294</v>
      </c>
      <c r="S323" s="206" t="s">
        <v>169</v>
      </c>
      <c r="T323" s="211">
        <v>550</v>
      </c>
      <c r="U323" s="211">
        <v>33.78</v>
      </c>
      <c r="V323" s="213">
        <v>327.06</v>
      </c>
      <c r="W323" s="213">
        <v>59.47</v>
      </c>
    </row>
    <row r="324" spans="1:23" s="200" customFormat="1" ht="15" customHeight="1">
      <c r="A324" s="196" t="s">
        <v>104</v>
      </c>
      <c r="B324" s="196" t="s">
        <v>2317</v>
      </c>
      <c r="C324" s="75"/>
      <c r="D324" s="323" t="s">
        <v>2026</v>
      </c>
      <c r="E324" s="323"/>
      <c r="F324" s="324"/>
      <c r="G324" s="325">
        <f>SUM(G308:G323)</f>
        <v>2665</v>
      </c>
      <c r="H324" s="325">
        <f t="shared" ref="H324:N324" si="41">SUM(H308:H323)</f>
        <v>2861</v>
      </c>
      <c r="I324" s="325">
        <f t="shared" si="41"/>
        <v>3418</v>
      </c>
      <c r="J324" s="325">
        <f t="shared" si="41"/>
        <v>4383</v>
      </c>
      <c r="K324" s="325">
        <f t="shared" si="41"/>
        <v>4000</v>
      </c>
      <c r="L324" s="325">
        <f t="shared" si="41"/>
        <v>1205</v>
      </c>
      <c r="M324" s="325">
        <f t="shared" si="41"/>
        <v>4550</v>
      </c>
      <c r="N324" s="325">
        <f t="shared" si="41"/>
        <v>4200</v>
      </c>
      <c r="O324" s="287"/>
      <c r="P324" s="202">
        <v>309</v>
      </c>
      <c r="Q324" s="210">
        <v>10</v>
      </c>
      <c r="R324" s="205" t="s">
        <v>295</v>
      </c>
      <c r="S324" s="206" t="s">
        <v>175</v>
      </c>
      <c r="T324" s="211">
        <v>0</v>
      </c>
      <c r="U324" s="211">
        <v>0</v>
      </c>
      <c r="V324" s="213">
        <v>0</v>
      </c>
      <c r="W324" s="213">
        <v>0</v>
      </c>
    </row>
    <row r="325" spans="1:23" s="46" customFormat="1" ht="15" customHeight="1">
      <c r="A325" s="2"/>
      <c r="B325" s="2"/>
      <c r="C325" s="3"/>
      <c r="D325" s="47"/>
      <c r="E325" s="47"/>
      <c r="F325" s="191"/>
      <c r="G325" s="48"/>
      <c r="H325" s="48"/>
      <c r="I325" s="48"/>
      <c r="J325" s="48"/>
      <c r="K325" s="48"/>
      <c r="L325" s="48"/>
      <c r="M325" s="48"/>
      <c r="N325" s="48"/>
      <c r="O325" s="289"/>
      <c r="P325" s="202">
        <v>310</v>
      </c>
      <c r="Q325" s="210">
        <v>10</v>
      </c>
      <c r="R325" s="205" t="s">
        <v>296</v>
      </c>
      <c r="S325" s="206" t="s">
        <v>244</v>
      </c>
      <c r="T325" s="211">
        <v>0</v>
      </c>
      <c r="U325" s="211">
        <v>0</v>
      </c>
      <c r="V325" s="213">
        <v>0</v>
      </c>
      <c r="W325" s="213">
        <v>0</v>
      </c>
    </row>
    <row r="326" spans="1:23" ht="15" customHeight="1">
      <c r="D326" s="47" t="s">
        <v>2027</v>
      </c>
      <c r="G326" s="26"/>
      <c r="H326" s="26"/>
      <c r="I326" s="26"/>
      <c r="J326" s="26"/>
      <c r="K326" s="26"/>
      <c r="L326" s="26"/>
      <c r="M326" s="26"/>
      <c r="N326" s="26"/>
      <c r="P326" s="202">
        <v>311</v>
      </c>
      <c r="Q326" s="210">
        <v>10</v>
      </c>
      <c r="R326" s="205" t="s">
        <v>2623</v>
      </c>
      <c r="S326" s="206"/>
      <c r="T326" s="211"/>
      <c r="U326" s="211"/>
      <c r="V326" s="213"/>
      <c r="W326" s="213"/>
    </row>
    <row r="327" spans="1:23" ht="15" customHeight="1">
      <c r="G327" s="26"/>
      <c r="H327" s="26"/>
      <c r="I327" s="26"/>
      <c r="J327" s="26"/>
      <c r="K327" s="26"/>
      <c r="L327" s="26"/>
      <c r="M327" s="26"/>
      <c r="N327" s="26"/>
      <c r="P327" s="202">
        <v>312</v>
      </c>
      <c r="Q327" s="210">
        <v>10</v>
      </c>
      <c r="R327" s="205" t="s">
        <v>163</v>
      </c>
      <c r="S327" s="206"/>
      <c r="T327" s="211">
        <v>550</v>
      </c>
      <c r="U327" s="211">
        <v>33.78</v>
      </c>
      <c r="V327" s="213">
        <v>327.06</v>
      </c>
      <c r="W327" s="213">
        <v>0</v>
      </c>
    </row>
    <row r="328" spans="1:23" ht="15" customHeight="1">
      <c r="C328" s="3">
        <v>10</v>
      </c>
      <c r="D328" s="15" t="s">
        <v>274</v>
      </c>
      <c r="E328" s="312" t="s">
        <v>137</v>
      </c>
      <c r="G328" s="26">
        <v>523</v>
      </c>
      <c r="H328" s="26">
        <v>596</v>
      </c>
      <c r="I328" s="26">
        <v>511</v>
      </c>
      <c r="J328" s="26">
        <v>601</v>
      </c>
      <c r="K328" s="26">
        <v>700</v>
      </c>
      <c r="L328" s="26">
        <v>394</v>
      </c>
      <c r="M328" s="26">
        <v>600</v>
      </c>
      <c r="N328" s="26">
        <v>700</v>
      </c>
      <c r="O328" s="285"/>
      <c r="P328" s="202">
        <v>313</v>
      </c>
      <c r="Q328" s="210">
        <v>10</v>
      </c>
      <c r="R328" s="205" t="s">
        <v>245</v>
      </c>
      <c r="S328" s="206"/>
      <c r="T328" s="211"/>
      <c r="U328" s="211"/>
      <c r="V328" s="213"/>
      <c r="W328" s="213"/>
    </row>
    <row r="329" spans="1:23" ht="15" customHeight="1">
      <c r="C329" s="3">
        <v>10</v>
      </c>
      <c r="D329" s="15" t="s">
        <v>275</v>
      </c>
      <c r="E329" s="312" t="s">
        <v>216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85"/>
      <c r="P329" s="202">
        <v>314</v>
      </c>
      <c r="Q329" s="210">
        <v>10</v>
      </c>
      <c r="R329" s="205" t="s">
        <v>2628</v>
      </c>
      <c r="S329" s="206"/>
      <c r="T329" s="211"/>
      <c r="U329" s="211"/>
      <c r="V329" s="213"/>
      <c r="W329" s="213"/>
    </row>
    <row r="330" spans="1:23" ht="15" customHeight="1">
      <c r="C330" s="3">
        <v>10</v>
      </c>
      <c r="D330" s="15" t="s">
        <v>276</v>
      </c>
      <c r="E330" s="312" t="s">
        <v>139</v>
      </c>
      <c r="G330" s="26">
        <v>34897</v>
      </c>
      <c r="H330" s="26">
        <v>45036</v>
      </c>
      <c r="I330" s="26">
        <v>36869</v>
      </c>
      <c r="J330" s="26">
        <v>630</v>
      </c>
      <c r="K330" s="26">
        <v>500</v>
      </c>
      <c r="L330" s="26">
        <v>653</v>
      </c>
      <c r="M330" s="26">
        <v>1000</v>
      </c>
      <c r="N330" s="26">
        <v>1500</v>
      </c>
      <c r="O330" s="285" t="s">
        <v>2849</v>
      </c>
      <c r="P330" s="202">
        <v>315</v>
      </c>
      <c r="Q330" s="210">
        <v>10</v>
      </c>
      <c r="R330" s="205" t="s">
        <v>297</v>
      </c>
      <c r="S330" s="206" t="s">
        <v>247</v>
      </c>
      <c r="T330" s="211">
        <v>1000</v>
      </c>
      <c r="U330" s="211">
        <v>0</v>
      </c>
      <c r="V330" s="213">
        <v>941.98</v>
      </c>
      <c r="W330" s="213">
        <v>94.2</v>
      </c>
    </row>
    <row r="331" spans="1:23" ht="15" customHeight="1">
      <c r="C331" s="3">
        <v>10</v>
      </c>
      <c r="D331" s="15" t="s">
        <v>277</v>
      </c>
      <c r="E331" s="312" t="s">
        <v>141</v>
      </c>
      <c r="G331" s="26">
        <v>0</v>
      </c>
      <c r="H331" s="26">
        <v>0</v>
      </c>
      <c r="I331" s="26">
        <v>0</v>
      </c>
      <c r="J331" s="26">
        <v>0</v>
      </c>
      <c r="K331" s="26">
        <v>0</v>
      </c>
      <c r="L331" s="26">
        <v>0</v>
      </c>
      <c r="M331" s="26">
        <v>0</v>
      </c>
      <c r="N331" s="26">
        <v>0</v>
      </c>
      <c r="O331" s="285"/>
      <c r="P331" s="202">
        <v>316</v>
      </c>
      <c r="Q331" s="210">
        <v>10</v>
      </c>
      <c r="R331" s="205" t="s">
        <v>2623</v>
      </c>
      <c r="S331" s="206"/>
      <c r="T331" s="211"/>
      <c r="U331" s="211"/>
      <c r="V331" s="213"/>
      <c r="W331" s="213"/>
    </row>
    <row r="332" spans="1:23" ht="15" customHeight="1">
      <c r="C332" s="3">
        <v>10</v>
      </c>
      <c r="D332" s="15" t="s">
        <v>278</v>
      </c>
      <c r="E332" s="312" t="s">
        <v>143</v>
      </c>
      <c r="G332" s="26">
        <v>0</v>
      </c>
      <c r="H332" s="26">
        <v>0</v>
      </c>
      <c r="I332" s="26">
        <v>0</v>
      </c>
      <c r="J332" s="26">
        <v>0</v>
      </c>
      <c r="K332" s="26">
        <v>0</v>
      </c>
      <c r="L332" s="26">
        <v>0</v>
      </c>
      <c r="M332" s="26">
        <v>0</v>
      </c>
      <c r="N332" s="26">
        <v>0</v>
      </c>
      <c r="O332" s="285"/>
      <c r="P332" s="202">
        <v>317</v>
      </c>
      <c r="Q332" s="210">
        <v>10</v>
      </c>
      <c r="R332" s="205" t="s">
        <v>245</v>
      </c>
      <c r="S332" s="206"/>
      <c r="T332" s="211">
        <v>1000</v>
      </c>
      <c r="U332" s="211">
        <v>0</v>
      </c>
      <c r="V332" s="213">
        <v>941.98</v>
      </c>
      <c r="W332" s="213">
        <v>0</v>
      </c>
    </row>
    <row r="333" spans="1:23" ht="15" customHeight="1">
      <c r="C333" s="3">
        <v>10</v>
      </c>
      <c r="D333" s="15" t="s">
        <v>279</v>
      </c>
      <c r="E333" s="312" t="s">
        <v>145</v>
      </c>
      <c r="G333" s="26">
        <v>0</v>
      </c>
      <c r="H333" s="26">
        <v>0</v>
      </c>
      <c r="I333" s="26">
        <v>0</v>
      </c>
      <c r="J333" s="26">
        <v>0</v>
      </c>
      <c r="K333" s="26">
        <v>0</v>
      </c>
      <c r="L333" s="26">
        <v>0</v>
      </c>
      <c r="M333" s="26">
        <v>0</v>
      </c>
      <c r="N333" s="26">
        <v>0</v>
      </c>
      <c r="O333" s="285"/>
      <c r="P333" s="202">
        <v>318</v>
      </c>
      <c r="Q333" s="210">
        <v>10</v>
      </c>
      <c r="R333" s="205" t="s">
        <v>2623</v>
      </c>
      <c r="S333" s="206"/>
      <c r="T333" s="211"/>
      <c r="U333" s="211"/>
      <c r="V333" s="213"/>
      <c r="W333" s="213"/>
    </row>
    <row r="334" spans="1:23" ht="15" customHeight="1">
      <c r="C334" s="3">
        <v>10</v>
      </c>
      <c r="D334" s="15" t="s">
        <v>280</v>
      </c>
      <c r="E334" s="312" t="s">
        <v>147</v>
      </c>
      <c r="G334" s="26">
        <v>0</v>
      </c>
      <c r="H334" s="26">
        <v>0</v>
      </c>
      <c r="I334" s="26">
        <v>0</v>
      </c>
      <c r="J334" s="26">
        <v>0</v>
      </c>
      <c r="K334" s="26">
        <v>0</v>
      </c>
      <c r="L334" s="26">
        <v>0</v>
      </c>
      <c r="M334" s="26">
        <v>0</v>
      </c>
      <c r="N334" s="26">
        <v>0</v>
      </c>
      <c r="O334" s="285"/>
      <c r="P334" s="202">
        <v>319</v>
      </c>
      <c r="Q334" s="210">
        <v>10</v>
      </c>
      <c r="R334" s="205" t="s">
        <v>3</v>
      </c>
      <c r="S334" s="206"/>
      <c r="T334" s="211">
        <v>94946</v>
      </c>
      <c r="U334" s="211">
        <v>7215.27</v>
      </c>
      <c r="V334" s="213">
        <v>62567.33</v>
      </c>
      <c r="W334" s="213">
        <v>65.900000000000006</v>
      </c>
    </row>
    <row r="335" spans="1:23" ht="15" customHeight="1">
      <c r="C335" s="3">
        <v>10</v>
      </c>
      <c r="D335" s="15" t="s">
        <v>281</v>
      </c>
      <c r="E335" s="312" t="s">
        <v>282</v>
      </c>
      <c r="G335" s="26">
        <v>5306</v>
      </c>
      <c r="H335" s="26">
        <v>4297</v>
      </c>
      <c r="I335" s="26">
        <v>5788</v>
      </c>
      <c r="J335" s="26">
        <v>2040</v>
      </c>
      <c r="K335" s="26">
        <v>6000</v>
      </c>
      <c r="L335" s="26">
        <v>3112</v>
      </c>
      <c r="M335" s="26">
        <v>3112</v>
      </c>
      <c r="N335" s="26">
        <v>3500</v>
      </c>
      <c r="O335" s="285"/>
      <c r="P335" s="202">
        <v>320</v>
      </c>
      <c r="Q335" s="210">
        <v>10</v>
      </c>
      <c r="R335" s="205" t="s">
        <v>2621</v>
      </c>
      <c r="S335" s="206"/>
      <c r="T335" s="211"/>
      <c r="U335" s="211"/>
      <c r="V335" s="213"/>
      <c r="W335" s="213"/>
    </row>
    <row r="336" spans="1:23" ht="15" customHeight="1">
      <c r="C336" s="3">
        <v>10</v>
      </c>
      <c r="D336" s="15" t="s">
        <v>283</v>
      </c>
      <c r="E336" s="312" t="s">
        <v>149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85"/>
      <c r="P336" s="202">
        <v>321</v>
      </c>
      <c r="Q336" s="210">
        <v>10</v>
      </c>
      <c r="R336" s="205" t="s">
        <v>2622</v>
      </c>
      <c r="S336" s="206"/>
      <c r="T336" s="211"/>
      <c r="U336" s="211"/>
      <c r="V336" s="213"/>
      <c r="W336" s="213"/>
    </row>
    <row r="337" spans="1:23" ht="15" customHeight="1">
      <c r="C337" s="3">
        <v>10</v>
      </c>
      <c r="D337" s="15" t="s">
        <v>284</v>
      </c>
      <c r="E337" s="312" t="s">
        <v>151</v>
      </c>
      <c r="G337" s="26">
        <v>235</v>
      </c>
      <c r="H337" s="26">
        <v>500</v>
      </c>
      <c r="I337" s="26">
        <v>340</v>
      </c>
      <c r="J337" s="26">
        <v>415</v>
      </c>
      <c r="K337" s="26">
        <v>500</v>
      </c>
      <c r="L337" s="26">
        <v>460</v>
      </c>
      <c r="M337" s="26">
        <v>460</v>
      </c>
      <c r="N337" s="26">
        <v>500</v>
      </c>
      <c r="O337" s="285"/>
      <c r="P337" s="202">
        <v>322</v>
      </c>
      <c r="Q337" s="210">
        <v>10</v>
      </c>
      <c r="R337" s="205" t="s">
        <v>298</v>
      </c>
      <c r="S337" s="206" t="s">
        <v>79</v>
      </c>
      <c r="T337" s="211">
        <v>0</v>
      </c>
      <c r="U337" s="211">
        <v>0</v>
      </c>
      <c r="V337" s="213">
        <v>0</v>
      </c>
      <c r="W337" s="213">
        <v>0</v>
      </c>
    </row>
    <row r="338" spans="1:23" ht="15" customHeight="1">
      <c r="C338" s="3">
        <v>10</v>
      </c>
      <c r="D338" s="15" t="s">
        <v>285</v>
      </c>
      <c r="E338" s="312" t="s">
        <v>153</v>
      </c>
      <c r="G338" s="26">
        <v>6619</v>
      </c>
      <c r="H338" s="26">
        <v>2991</v>
      </c>
      <c r="I338" s="26">
        <v>2479</v>
      </c>
      <c r="J338" s="26">
        <v>5560</v>
      </c>
      <c r="K338" s="26">
        <v>2500</v>
      </c>
      <c r="L338" s="26">
        <v>1562</v>
      </c>
      <c r="M338" s="26">
        <v>2500</v>
      </c>
      <c r="N338" s="26">
        <v>2500</v>
      </c>
      <c r="O338" s="285"/>
      <c r="P338" s="202">
        <v>323</v>
      </c>
      <c r="Q338" s="210">
        <v>10</v>
      </c>
      <c r="R338" s="205" t="s">
        <v>299</v>
      </c>
      <c r="S338" s="206" t="s">
        <v>81</v>
      </c>
      <c r="T338" s="211">
        <v>0</v>
      </c>
      <c r="U338" s="211">
        <v>0</v>
      </c>
      <c r="V338" s="213">
        <v>0</v>
      </c>
      <c r="W338" s="213">
        <v>0</v>
      </c>
    </row>
    <row r="339" spans="1:23" ht="15" customHeight="1">
      <c r="C339" s="3">
        <v>10</v>
      </c>
      <c r="D339" s="15" t="s">
        <v>286</v>
      </c>
      <c r="E339" s="312" t="s">
        <v>157</v>
      </c>
      <c r="G339" s="26">
        <v>0</v>
      </c>
      <c r="H339" s="26">
        <v>0</v>
      </c>
      <c r="I339" s="26">
        <v>0</v>
      </c>
      <c r="J339" s="26">
        <v>0</v>
      </c>
      <c r="K339" s="26">
        <v>0</v>
      </c>
      <c r="L339" s="26">
        <v>0</v>
      </c>
      <c r="M339" s="26">
        <v>0</v>
      </c>
      <c r="N339" s="26">
        <v>0</v>
      </c>
      <c r="O339" s="285"/>
      <c r="P339" s="202">
        <v>324</v>
      </c>
      <c r="Q339" s="210">
        <v>10</v>
      </c>
      <c r="R339" s="205" t="s">
        <v>300</v>
      </c>
      <c r="S339" s="206" t="s">
        <v>83</v>
      </c>
      <c r="T339" s="211">
        <v>0</v>
      </c>
      <c r="U339" s="211">
        <v>0</v>
      </c>
      <c r="V339" s="213">
        <v>0</v>
      </c>
      <c r="W339" s="213">
        <v>0</v>
      </c>
    </row>
    <row r="340" spans="1:23" ht="15" customHeight="1">
      <c r="C340" s="3">
        <v>10</v>
      </c>
      <c r="D340" s="15" t="s">
        <v>287</v>
      </c>
      <c r="E340" s="312" t="s">
        <v>159</v>
      </c>
      <c r="G340" s="26">
        <v>0</v>
      </c>
      <c r="H340" s="26">
        <v>0</v>
      </c>
      <c r="I340" s="26">
        <v>0</v>
      </c>
      <c r="J340" s="26">
        <v>0</v>
      </c>
      <c r="K340" s="26">
        <v>0</v>
      </c>
      <c r="L340" s="26">
        <v>0</v>
      </c>
      <c r="M340" s="26">
        <v>0</v>
      </c>
      <c r="N340" s="26">
        <v>0</v>
      </c>
      <c r="O340" s="285"/>
      <c r="P340" s="202">
        <v>325</v>
      </c>
      <c r="Q340" s="210">
        <v>10</v>
      </c>
      <c r="R340" s="205" t="s">
        <v>301</v>
      </c>
      <c r="S340" s="206" t="s">
        <v>85</v>
      </c>
      <c r="T340" s="211">
        <v>0</v>
      </c>
      <c r="U340" s="211">
        <v>0</v>
      </c>
      <c r="V340" s="213">
        <v>0</v>
      </c>
      <c r="W340" s="213">
        <v>0</v>
      </c>
    </row>
    <row r="341" spans="1:23" ht="15" customHeight="1">
      <c r="C341" s="3">
        <v>10</v>
      </c>
      <c r="D341" s="15" t="s">
        <v>288</v>
      </c>
      <c r="E341" s="312" t="s">
        <v>229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85"/>
      <c r="P341" s="202">
        <v>326</v>
      </c>
      <c r="Q341" s="210">
        <v>10</v>
      </c>
      <c r="R341" s="205" t="s">
        <v>302</v>
      </c>
      <c r="S341" s="206" t="s">
        <v>87</v>
      </c>
      <c r="T341" s="211">
        <v>0</v>
      </c>
      <c r="U341" s="211">
        <v>0</v>
      </c>
      <c r="V341" s="213">
        <v>0</v>
      </c>
      <c r="W341" s="213">
        <v>0</v>
      </c>
    </row>
    <row r="342" spans="1:23" ht="15" customHeight="1">
      <c r="C342" s="3">
        <v>10</v>
      </c>
      <c r="D342" s="15" t="s">
        <v>289</v>
      </c>
      <c r="E342" s="312" t="s">
        <v>162</v>
      </c>
      <c r="G342" s="26">
        <v>0</v>
      </c>
      <c r="H342" s="26">
        <v>0</v>
      </c>
      <c r="I342" s="26">
        <v>211</v>
      </c>
      <c r="J342" s="26">
        <v>0</v>
      </c>
      <c r="K342" s="26">
        <v>0</v>
      </c>
      <c r="L342" s="26">
        <v>382</v>
      </c>
      <c r="M342" s="26">
        <v>750</v>
      </c>
      <c r="N342" s="26">
        <v>1000</v>
      </c>
      <c r="O342" s="285"/>
      <c r="P342" s="202">
        <v>327</v>
      </c>
      <c r="Q342" s="210">
        <v>10</v>
      </c>
      <c r="R342" s="205" t="s">
        <v>303</v>
      </c>
      <c r="S342" s="206" t="s">
        <v>89</v>
      </c>
      <c r="T342" s="211">
        <v>0</v>
      </c>
      <c r="U342" s="211">
        <v>0</v>
      </c>
      <c r="V342" s="213">
        <v>0</v>
      </c>
      <c r="W342" s="213">
        <v>0</v>
      </c>
    </row>
    <row r="343" spans="1:23" ht="15" customHeight="1">
      <c r="G343" s="26"/>
      <c r="H343" s="26"/>
      <c r="I343" s="26"/>
      <c r="J343" s="26"/>
      <c r="K343" s="26"/>
      <c r="L343" s="26"/>
      <c r="M343" s="26"/>
      <c r="N343" s="26"/>
      <c r="P343" s="202">
        <v>328</v>
      </c>
      <c r="Q343" s="210">
        <v>10</v>
      </c>
      <c r="R343" s="205" t="s">
        <v>304</v>
      </c>
      <c r="S343" s="206" t="s">
        <v>91</v>
      </c>
      <c r="T343" s="211">
        <v>0</v>
      </c>
      <c r="U343" s="211">
        <v>0</v>
      </c>
      <c r="V343" s="213">
        <v>0</v>
      </c>
      <c r="W343" s="213">
        <v>0</v>
      </c>
    </row>
    <row r="344" spans="1:23" s="22" customFormat="1" ht="15" customHeight="1">
      <c r="A344" s="2" t="s">
        <v>135</v>
      </c>
      <c r="B344" s="2" t="s">
        <v>2317</v>
      </c>
      <c r="C344" s="3"/>
      <c r="D344" s="323" t="s">
        <v>2028</v>
      </c>
      <c r="E344" s="323"/>
      <c r="F344" s="324"/>
      <c r="G344" s="325">
        <f>SUM(G326:G343)</f>
        <v>47580</v>
      </c>
      <c r="H344" s="325">
        <f t="shared" ref="H344:N344" si="42">SUM(H326:H343)</f>
        <v>53420</v>
      </c>
      <c r="I344" s="325">
        <f t="shared" si="42"/>
        <v>46198</v>
      </c>
      <c r="J344" s="325">
        <f t="shared" si="42"/>
        <v>9246</v>
      </c>
      <c r="K344" s="325">
        <f t="shared" si="42"/>
        <v>10200</v>
      </c>
      <c r="L344" s="325">
        <f t="shared" si="42"/>
        <v>6563</v>
      </c>
      <c r="M344" s="325">
        <f t="shared" si="42"/>
        <v>8422</v>
      </c>
      <c r="N344" s="325">
        <f t="shared" si="42"/>
        <v>9700</v>
      </c>
      <c r="O344" s="290"/>
      <c r="P344" s="202">
        <v>329</v>
      </c>
      <c r="Q344" s="210">
        <v>10</v>
      </c>
      <c r="R344" s="205" t="s">
        <v>305</v>
      </c>
      <c r="S344" s="206" t="s">
        <v>93</v>
      </c>
      <c r="T344" s="211">
        <v>0</v>
      </c>
      <c r="U344" s="211">
        <v>0</v>
      </c>
      <c r="V344" s="213">
        <v>0</v>
      </c>
      <c r="W344" s="213">
        <v>0</v>
      </c>
    </row>
    <row r="345" spans="1:23" s="46" customFormat="1" ht="15" customHeight="1">
      <c r="A345" s="2"/>
      <c r="B345" s="2"/>
      <c r="C345" s="3"/>
      <c r="D345" s="47"/>
      <c r="E345" s="47"/>
      <c r="F345" s="191"/>
      <c r="G345" s="48"/>
      <c r="H345" s="48"/>
      <c r="I345" s="48"/>
      <c r="J345" s="48"/>
      <c r="K345" s="48"/>
      <c r="L345" s="48"/>
      <c r="M345" s="48"/>
      <c r="N345" s="48"/>
      <c r="O345" s="289"/>
      <c r="P345" s="202">
        <v>330</v>
      </c>
      <c r="Q345" s="210">
        <v>10</v>
      </c>
      <c r="R345" s="205" t="s">
        <v>306</v>
      </c>
      <c r="S345" s="206" t="s">
        <v>95</v>
      </c>
      <c r="T345" s="211">
        <v>0</v>
      </c>
      <c r="U345" s="211">
        <v>0</v>
      </c>
      <c r="V345" s="213">
        <v>0</v>
      </c>
      <c r="W345" s="213">
        <v>0</v>
      </c>
    </row>
    <row r="346" spans="1:23" ht="15" customHeight="1">
      <c r="D346" s="47" t="s">
        <v>2029</v>
      </c>
      <c r="G346" s="26"/>
      <c r="H346" s="26"/>
      <c r="I346" s="26"/>
      <c r="J346" s="26"/>
      <c r="K346" s="26"/>
      <c r="L346" s="26"/>
      <c r="M346" s="26"/>
      <c r="N346" s="26"/>
      <c r="P346" s="202">
        <v>331</v>
      </c>
      <c r="Q346" s="210">
        <v>10</v>
      </c>
      <c r="R346" s="205" t="s">
        <v>307</v>
      </c>
      <c r="S346" s="206" t="s">
        <v>97</v>
      </c>
      <c r="T346" s="211">
        <v>0</v>
      </c>
      <c r="U346" s="211">
        <v>0</v>
      </c>
      <c r="V346" s="213">
        <v>0</v>
      </c>
      <c r="W346" s="213">
        <v>0</v>
      </c>
    </row>
    <row r="347" spans="1:23" ht="15" customHeight="1">
      <c r="G347" s="26"/>
      <c r="H347" s="26"/>
      <c r="I347" s="26"/>
      <c r="J347" s="26"/>
      <c r="K347" s="26"/>
      <c r="L347" s="26"/>
      <c r="M347" s="26"/>
      <c r="N347" s="26"/>
      <c r="P347" s="202">
        <v>332</v>
      </c>
      <c r="Q347" s="210">
        <v>10</v>
      </c>
      <c r="R347" s="205" t="s">
        <v>308</v>
      </c>
      <c r="S347" s="206" t="s">
        <v>99</v>
      </c>
      <c r="T347" s="211">
        <v>0</v>
      </c>
      <c r="U347" s="211">
        <v>0</v>
      </c>
      <c r="V347" s="213">
        <v>0</v>
      </c>
      <c r="W347" s="213">
        <v>0</v>
      </c>
    </row>
    <row r="348" spans="1:23" ht="15" customHeight="1">
      <c r="C348" s="3">
        <v>10</v>
      </c>
      <c r="D348" s="15" t="s">
        <v>290</v>
      </c>
      <c r="E348" s="312" t="s">
        <v>291</v>
      </c>
      <c r="G348" s="26">
        <v>0</v>
      </c>
      <c r="H348" s="26">
        <v>8111</v>
      </c>
      <c r="I348" s="26">
        <v>34994</v>
      </c>
      <c r="J348" s="26">
        <v>0</v>
      </c>
      <c r="K348" s="26">
        <v>0</v>
      </c>
      <c r="L348" s="26">
        <v>0</v>
      </c>
      <c r="M348" s="26">
        <v>0</v>
      </c>
      <c r="N348" s="26">
        <v>0</v>
      </c>
      <c r="O348" s="285"/>
      <c r="P348" s="202">
        <v>333</v>
      </c>
      <c r="Q348" s="210">
        <v>10</v>
      </c>
      <c r="R348" s="205" t="s">
        <v>309</v>
      </c>
      <c r="S348" s="206" t="s">
        <v>101</v>
      </c>
      <c r="T348" s="211">
        <v>0</v>
      </c>
      <c r="U348" s="211">
        <v>0</v>
      </c>
      <c r="V348" s="213">
        <v>0</v>
      </c>
      <c r="W348" s="213">
        <v>0</v>
      </c>
    </row>
    <row r="349" spans="1:23" ht="15" customHeight="1">
      <c r="C349" s="3">
        <v>10</v>
      </c>
      <c r="D349" s="15" t="s">
        <v>292</v>
      </c>
      <c r="E349" s="312" t="s">
        <v>165</v>
      </c>
      <c r="G349" s="26">
        <v>16</v>
      </c>
      <c r="H349" s="26">
        <v>0</v>
      </c>
      <c r="I349" s="26">
        <v>0</v>
      </c>
      <c r="J349" s="26">
        <v>0</v>
      </c>
      <c r="K349" s="26">
        <v>0</v>
      </c>
      <c r="L349" s="26">
        <v>0</v>
      </c>
      <c r="M349" s="26">
        <v>0</v>
      </c>
      <c r="N349" s="26">
        <v>0</v>
      </c>
      <c r="O349" s="285"/>
      <c r="P349" s="202">
        <v>334</v>
      </c>
      <c r="Q349" s="210">
        <v>10</v>
      </c>
      <c r="R349" s="205" t="s">
        <v>310</v>
      </c>
      <c r="S349" s="206" t="s">
        <v>103</v>
      </c>
      <c r="T349" s="211">
        <v>0</v>
      </c>
      <c r="U349" s="211">
        <v>0</v>
      </c>
      <c r="V349" s="213">
        <v>0</v>
      </c>
      <c r="W349" s="213">
        <v>0</v>
      </c>
    </row>
    <row r="350" spans="1:23" ht="15" customHeight="1">
      <c r="C350" s="3">
        <v>10</v>
      </c>
      <c r="D350" s="15" t="s">
        <v>293</v>
      </c>
      <c r="E350" s="312" t="s">
        <v>167</v>
      </c>
      <c r="G350" s="26">
        <v>0</v>
      </c>
      <c r="H350" s="26">
        <v>0</v>
      </c>
      <c r="I350" s="26">
        <v>0</v>
      </c>
      <c r="J350" s="26">
        <v>0</v>
      </c>
      <c r="K350" s="26">
        <v>0</v>
      </c>
      <c r="L350" s="26">
        <v>0</v>
      </c>
      <c r="M350" s="26">
        <v>0</v>
      </c>
      <c r="N350" s="26">
        <v>0</v>
      </c>
      <c r="O350" s="285"/>
      <c r="P350" s="202">
        <v>335</v>
      </c>
      <c r="Q350" s="210">
        <v>10</v>
      </c>
      <c r="R350" s="205" t="s">
        <v>2623</v>
      </c>
      <c r="S350" s="206"/>
      <c r="T350" s="211"/>
      <c r="U350" s="211"/>
      <c r="V350" s="213"/>
      <c r="W350" s="213"/>
    </row>
    <row r="351" spans="1:23" ht="15" customHeight="1">
      <c r="C351" s="3">
        <v>10</v>
      </c>
      <c r="D351" s="15" t="s">
        <v>294</v>
      </c>
      <c r="E351" s="312" t="s">
        <v>169</v>
      </c>
      <c r="G351" s="26">
        <v>2800</v>
      </c>
      <c r="H351" s="26">
        <v>6929</v>
      </c>
      <c r="I351" s="26">
        <v>4595</v>
      </c>
      <c r="J351" s="26">
        <v>2936</v>
      </c>
      <c r="K351" s="26">
        <v>550</v>
      </c>
      <c r="L351" s="26">
        <v>293</v>
      </c>
      <c r="M351" s="26">
        <v>550</v>
      </c>
      <c r="N351" s="26">
        <v>600</v>
      </c>
      <c r="O351" s="285"/>
      <c r="P351" s="202">
        <v>336</v>
      </c>
      <c r="Q351" s="210">
        <v>10</v>
      </c>
      <c r="R351" s="205" t="s">
        <v>2621</v>
      </c>
      <c r="S351" s="206"/>
      <c r="T351" s="211">
        <v>0</v>
      </c>
      <c r="U351" s="211">
        <v>0</v>
      </c>
      <c r="V351" s="213">
        <v>0</v>
      </c>
      <c r="W351" s="213">
        <v>0</v>
      </c>
    </row>
    <row r="352" spans="1:23" ht="15" customHeight="1">
      <c r="C352" s="3">
        <v>10</v>
      </c>
      <c r="D352" s="15" t="s">
        <v>295</v>
      </c>
      <c r="E352" s="312" t="s">
        <v>175</v>
      </c>
      <c r="G352" s="26">
        <v>0</v>
      </c>
      <c r="H352" s="26">
        <v>0</v>
      </c>
      <c r="I352" s="26">
        <v>0</v>
      </c>
      <c r="J352" s="26">
        <v>0</v>
      </c>
      <c r="K352" s="26">
        <v>0</v>
      </c>
      <c r="L352" s="26">
        <v>0</v>
      </c>
      <c r="M352" s="26">
        <v>0</v>
      </c>
      <c r="N352" s="26">
        <v>0</v>
      </c>
      <c r="O352" s="285"/>
      <c r="P352" s="202">
        <v>337</v>
      </c>
      <c r="Q352" s="210">
        <v>10</v>
      </c>
      <c r="R352" s="205" t="s">
        <v>104</v>
      </c>
      <c r="S352" s="206"/>
      <c r="T352" s="211"/>
      <c r="U352" s="211"/>
      <c r="V352" s="213"/>
      <c r="W352" s="213"/>
    </row>
    <row r="353" spans="1:23" ht="15" customHeight="1">
      <c r="C353" s="3">
        <v>10</v>
      </c>
      <c r="D353" s="15" t="s">
        <v>296</v>
      </c>
      <c r="E353" s="312" t="s">
        <v>244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85"/>
      <c r="P353" s="202">
        <v>338</v>
      </c>
      <c r="Q353" s="210">
        <v>10</v>
      </c>
      <c r="R353" s="205" t="s">
        <v>2624</v>
      </c>
      <c r="S353" s="206"/>
      <c r="T353" s="211"/>
      <c r="U353" s="211"/>
      <c r="V353" s="213"/>
      <c r="W353" s="213"/>
    </row>
    <row r="354" spans="1:23" ht="15" customHeight="1">
      <c r="G354" s="26"/>
      <c r="H354" s="26"/>
      <c r="I354" s="26"/>
      <c r="J354" s="26"/>
      <c r="K354" s="26"/>
      <c r="L354" s="26"/>
      <c r="M354" s="26"/>
      <c r="N354" s="26"/>
      <c r="P354" s="202">
        <v>339</v>
      </c>
      <c r="Q354" s="210">
        <v>10</v>
      </c>
      <c r="R354" s="205" t="s">
        <v>311</v>
      </c>
      <c r="S354" s="206" t="s">
        <v>115</v>
      </c>
      <c r="T354" s="211">
        <v>0</v>
      </c>
      <c r="U354" s="211">
        <v>0</v>
      </c>
      <c r="V354" s="213">
        <v>0</v>
      </c>
      <c r="W354" s="213">
        <v>0</v>
      </c>
    </row>
    <row r="355" spans="1:23" s="23" customFormat="1" ht="15" customHeight="1">
      <c r="A355" s="2" t="s">
        <v>163</v>
      </c>
      <c r="B355" s="2" t="s">
        <v>2317</v>
      </c>
      <c r="C355" s="3"/>
      <c r="D355" s="323" t="s">
        <v>2030</v>
      </c>
      <c r="E355" s="323"/>
      <c r="F355" s="324"/>
      <c r="G355" s="325">
        <f>SUM(G346:G354)</f>
        <v>2816</v>
      </c>
      <c r="H355" s="325">
        <f t="shared" ref="H355:N355" si="43">SUM(H346:H354)</f>
        <v>15040</v>
      </c>
      <c r="I355" s="325">
        <f t="shared" si="43"/>
        <v>39589</v>
      </c>
      <c r="J355" s="325">
        <f t="shared" si="43"/>
        <v>2936</v>
      </c>
      <c r="K355" s="325">
        <f t="shared" si="43"/>
        <v>550</v>
      </c>
      <c r="L355" s="325">
        <f t="shared" si="43"/>
        <v>293</v>
      </c>
      <c r="M355" s="325">
        <f t="shared" si="43"/>
        <v>550</v>
      </c>
      <c r="N355" s="325">
        <f t="shared" si="43"/>
        <v>600</v>
      </c>
      <c r="O355" s="291"/>
      <c r="P355" s="202">
        <v>340</v>
      </c>
      <c r="Q355" s="210">
        <v>10</v>
      </c>
      <c r="R355" s="205" t="s">
        <v>312</v>
      </c>
      <c r="S355" s="206" t="s">
        <v>117</v>
      </c>
      <c r="T355" s="211">
        <v>0</v>
      </c>
      <c r="U355" s="211">
        <v>0</v>
      </c>
      <c r="V355" s="213">
        <v>0</v>
      </c>
      <c r="W355" s="213">
        <v>0</v>
      </c>
    </row>
    <row r="356" spans="1:23" s="46" customFormat="1" ht="15" customHeight="1">
      <c r="A356" s="2"/>
      <c r="B356" s="2"/>
      <c r="C356" s="3"/>
      <c r="D356" s="47"/>
      <c r="E356" s="47"/>
      <c r="F356" s="191"/>
      <c r="G356" s="48"/>
      <c r="H356" s="48"/>
      <c r="I356" s="48"/>
      <c r="J356" s="48"/>
      <c r="K356" s="48"/>
      <c r="L356" s="48"/>
      <c r="M356" s="48"/>
      <c r="N356" s="48"/>
      <c r="O356" s="289"/>
      <c r="P356" s="202">
        <v>341</v>
      </c>
      <c r="Q356" s="210">
        <v>10</v>
      </c>
      <c r="R356" s="205" t="s">
        <v>313</v>
      </c>
      <c r="S356" s="206" t="s">
        <v>119</v>
      </c>
      <c r="T356" s="211">
        <v>0</v>
      </c>
      <c r="U356" s="211">
        <v>0</v>
      </c>
      <c r="V356" s="213">
        <v>0</v>
      </c>
      <c r="W356" s="213">
        <v>0</v>
      </c>
    </row>
    <row r="357" spans="1:23" ht="15" customHeight="1">
      <c r="D357" s="47" t="s">
        <v>2031</v>
      </c>
      <c r="G357" s="26"/>
      <c r="H357" s="26"/>
      <c r="I357" s="26"/>
      <c r="J357" s="26"/>
      <c r="K357" s="26"/>
      <c r="L357" s="26"/>
      <c r="M357" s="26"/>
      <c r="N357" s="26"/>
      <c r="P357" s="202">
        <v>342</v>
      </c>
      <c r="Q357" s="210">
        <v>10</v>
      </c>
      <c r="R357" s="205" t="s">
        <v>314</v>
      </c>
      <c r="S357" s="206" t="s">
        <v>121</v>
      </c>
      <c r="T357" s="211">
        <v>0</v>
      </c>
      <c r="U357" s="211">
        <v>0</v>
      </c>
      <c r="V357" s="213">
        <v>0</v>
      </c>
      <c r="W357" s="213">
        <v>0</v>
      </c>
    </row>
    <row r="358" spans="1:23" ht="15" customHeight="1">
      <c r="G358" s="26"/>
      <c r="H358" s="26"/>
      <c r="I358" s="26"/>
      <c r="J358" s="26"/>
      <c r="K358" s="26"/>
      <c r="L358" s="26"/>
      <c r="M358" s="26"/>
      <c r="N358" s="26"/>
      <c r="P358" s="202">
        <v>343</v>
      </c>
      <c r="Q358" s="210">
        <v>10</v>
      </c>
      <c r="R358" s="205" t="s">
        <v>315</v>
      </c>
      <c r="S358" s="206" t="s">
        <v>123</v>
      </c>
      <c r="T358" s="211">
        <v>0</v>
      </c>
      <c r="U358" s="211">
        <v>0</v>
      </c>
      <c r="V358" s="213">
        <v>0</v>
      </c>
      <c r="W358" s="213">
        <v>0</v>
      </c>
    </row>
    <row r="359" spans="1:23" ht="15" customHeight="1">
      <c r="C359" s="3">
        <v>10</v>
      </c>
      <c r="D359" s="15" t="s">
        <v>297</v>
      </c>
      <c r="E359" s="312" t="s">
        <v>247</v>
      </c>
      <c r="G359" s="26">
        <v>389</v>
      </c>
      <c r="H359" s="26">
        <v>0</v>
      </c>
      <c r="I359" s="26">
        <v>0</v>
      </c>
      <c r="J359" s="26">
        <v>0</v>
      </c>
      <c r="K359" s="26">
        <v>1000</v>
      </c>
      <c r="L359" s="26">
        <v>942</v>
      </c>
      <c r="M359" s="26">
        <v>942</v>
      </c>
      <c r="N359" s="26">
        <v>1200</v>
      </c>
      <c r="O359" s="285"/>
      <c r="P359" s="202">
        <v>344</v>
      </c>
      <c r="Q359" s="210">
        <v>10</v>
      </c>
      <c r="R359" s="205" t="s">
        <v>316</v>
      </c>
      <c r="S359" s="206" t="s">
        <v>125</v>
      </c>
      <c r="T359" s="211">
        <v>0</v>
      </c>
      <c r="U359" s="211">
        <v>0</v>
      </c>
      <c r="V359" s="213">
        <v>0</v>
      </c>
      <c r="W359" s="213">
        <v>0</v>
      </c>
    </row>
    <row r="360" spans="1:23" ht="15" customHeight="1">
      <c r="G360" s="26"/>
      <c r="H360" s="26"/>
      <c r="I360" s="26"/>
      <c r="J360" s="26"/>
      <c r="K360" s="26"/>
      <c r="L360" s="26"/>
      <c r="M360" s="26"/>
      <c r="N360" s="26"/>
      <c r="P360" s="202">
        <v>345</v>
      </c>
      <c r="Q360" s="210">
        <v>10</v>
      </c>
      <c r="R360" s="205" t="s">
        <v>317</v>
      </c>
      <c r="S360" s="206" t="s">
        <v>106</v>
      </c>
      <c r="T360" s="211">
        <v>0</v>
      </c>
      <c r="U360" s="211">
        <v>0</v>
      </c>
      <c r="V360" s="213">
        <v>0</v>
      </c>
      <c r="W360" s="213">
        <v>0</v>
      </c>
    </row>
    <row r="361" spans="1:23" s="24" customFormat="1" ht="15" customHeight="1">
      <c r="A361" s="2" t="s">
        <v>245</v>
      </c>
      <c r="B361" s="2" t="s">
        <v>2317</v>
      </c>
      <c r="C361" s="3"/>
      <c r="D361" s="323" t="s">
        <v>2032</v>
      </c>
      <c r="E361" s="323"/>
      <c r="F361" s="324"/>
      <c r="G361" s="325">
        <f>SUM(G357:G360)</f>
        <v>389</v>
      </c>
      <c r="H361" s="325">
        <f t="shared" ref="H361:N361" si="44">SUM(H357:H360)</f>
        <v>0</v>
      </c>
      <c r="I361" s="325">
        <f t="shared" si="44"/>
        <v>0</v>
      </c>
      <c r="J361" s="325">
        <f t="shared" si="44"/>
        <v>0</v>
      </c>
      <c r="K361" s="325">
        <f t="shared" si="44"/>
        <v>1000</v>
      </c>
      <c r="L361" s="325">
        <f t="shared" si="44"/>
        <v>942</v>
      </c>
      <c r="M361" s="325">
        <f t="shared" si="44"/>
        <v>942</v>
      </c>
      <c r="N361" s="325">
        <f t="shared" si="44"/>
        <v>1200</v>
      </c>
      <c r="O361" s="292"/>
      <c r="P361" s="202">
        <v>346</v>
      </c>
      <c r="Q361" s="210">
        <v>10</v>
      </c>
      <c r="R361" s="205" t="s">
        <v>318</v>
      </c>
      <c r="S361" s="206" t="s">
        <v>132</v>
      </c>
      <c r="T361" s="211">
        <v>0</v>
      </c>
      <c r="U361" s="211">
        <v>0</v>
      </c>
      <c r="V361" s="213">
        <v>0</v>
      </c>
      <c r="W361" s="213">
        <v>0</v>
      </c>
    </row>
    <row r="362" spans="1:23" ht="15" customHeight="1">
      <c r="G362" s="26"/>
      <c r="H362" s="26"/>
      <c r="I362" s="26"/>
      <c r="J362" s="26"/>
      <c r="K362" s="26"/>
      <c r="L362" s="26"/>
      <c r="M362" s="26"/>
      <c r="N362" s="26"/>
      <c r="P362" s="202">
        <v>347</v>
      </c>
      <c r="Q362" s="210">
        <v>10</v>
      </c>
      <c r="R362" s="205" t="s">
        <v>2623</v>
      </c>
      <c r="S362" s="206"/>
      <c r="T362" s="211"/>
      <c r="U362" s="211"/>
      <c r="V362" s="213"/>
      <c r="W362" s="213"/>
    </row>
    <row r="363" spans="1:23" s="43" customFormat="1" ht="15" customHeight="1" thickBot="1">
      <c r="A363" s="2"/>
      <c r="B363" s="2" t="s">
        <v>2317</v>
      </c>
      <c r="C363" s="3"/>
      <c r="D363" s="68" t="s">
        <v>1981</v>
      </c>
      <c r="E363" s="326"/>
      <c r="F363" s="327"/>
      <c r="G363" s="328">
        <f>+G361+G355+G344+G324+G306</f>
        <v>137961</v>
      </c>
      <c r="H363" s="328">
        <f t="shared" ref="H363:N363" si="45">+H361+H355+H344+H324+H306</f>
        <v>138813</v>
      </c>
      <c r="I363" s="328">
        <f t="shared" si="45"/>
        <v>160060</v>
      </c>
      <c r="J363" s="328">
        <f t="shared" si="45"/>
        <v>93951</v>
      </c>
      <c r="K363" s="328">
        <f t="shared" si="45"/>
        <v>94946</v>
      </c>
      <c r="L363" s="328">
        <f t="shared" si="45"/>
        <v>55355</v>
      </c>
      <c r="M363" s="328">
        <f t="shared" si="45"/>
        <v>93624.27</v>
      </c>
      <c r="N363" s="328">
        <f t="shared" si="45"/>
        <v>97989</v>
      </c>
      <c r="O363" s="288"/>
      <c r="P363" s="202">
        <v>348</v>
      </c>
      <c r="Q363" s="210">
        <v>10</v>
      </c>
      <c r="R363" s="205" t="s">
        <v>104</v>
      </c>
      <c r="S363" s="206"/>
      <c r="T363" s="211">
        <v>0</v>
      </c>
      <c r="U363" s="211">
        <v>0</v>
      </c>
      <c r="V363" s="213">
        <v>0</v>
      </c>
      <c r="W363" s="213">
        <v>0</v>
      </c>
    </row>
    <row r="364" spans="1:23" s="45" customFormat="1" ht="15" customHeight="1" thickTop="1">
      <c r="A364" s="2"/>
      <c r="B364" s="2"/>
      <c r="C364" s="3"/>
      <c r="D364" s="47"/>
      <c r="E364" s="15"/>
      <c r="F364" s="105"/>
      <c r="G364" s="26"/>
      <c r="H364" s="26"/>
      <c r="I364" s="26"/>
      <c r="J364" s="26"/>
      <c r="K364" s="26"/>
      <c r="L364" s="26"/>
      <c r="M364" s="26"/>
      <c r="N364" s="26"/>
      <c r="O364" s="275"/>
      <c r="P364" s="202">
        <v>349</v>
      </c>
      <c r="Q364" s="210">
        <v>10</v>
      </c>
      <c r="R364" s="205" t="s">
        <v>135</v>
      </c>
      <c r="S364" s="206"/>
      <c r="T364" s="211"/>
      <c r="U364" s="211"/>
      <c r="V364" s="213"/>
      <c r="W364" s="213"/>
    </row>
    <row r="365" spans="1:23" s="45" customFormat="1" ht="15" customHeight="1">
      <c r="A365" s="2"/>
      <c r="B365" s="2"/>
      <c r="C365" s="3"/>
      <c r="D365" s="47" t="s">
        <v>4</v>
      </c>
      <c r="E365" s="15"/>
      <c r="F365" s="105"/>
      <c r="G365" s="26"/>
      <c r="H365" s="26"/>
      <c r="I365" s="26"/>
      <c r="J365" s="26"/>
      <c r="K365" s="26"/>
      <c r="L365" s="26"/>
      <c r="M365" s="26"/>
      <c r="N365" s="26"/>
      <c r="O365" s="275"/>
      <c r="P365" s="202">
        <v>350</v>
      </c>
      <c r="Q365" s="210">
        <v>10</v>
      </c>
      <c r="R365" s="205" t="s">
        <v>2626</v>
      </c>
      <c r="S365" s="206"/>
      <c r="T365" s="211"/>
      <c r="U365" s="211"/>
      <c r="V365" s="213"/>
      <c r="W365" s="213"/>
    </row>
    <row r="366" spans="1:23" s="45" customFormat="1" ht="15" customHeight="1">
      <c r="A366" s="2"/>
      <c r="B366" s="2"/>
      <c r="C366" s="3"/>
      <c r="D366" s="47"/>
      <c r="E366" s="15"/>
      <c r="F366" s="105"/>
      <c r="G366" s="26"/>
      <c r="H366" s="26"/>
      <c r="I366" s="26"/>
      <c r="J366" s="26"/>
      <c r="K366" s="26"/>
      <c r="L366" s="26"/>
      <c r="M366" s="26"/>
      <c r="N366" s="26"/>
      <c r="O366" s="275"/>
      <c r="P366" s="202">
        <v>351</v>
      </c>
      <c r="Q366" s="210">
        <v>10</v>
      </c>
      <c r="R366" s="205" t="s">
        <v>319</v>
      </c>
      <c r="S366" s="206" t="s">
        <v>137</v>
      </c>
      <c r="T366" s="211">
        <v>0</v>
      </c>
      <c r="U366" s="211">
        <v>0</v>
      </c>
      <c r="V366" s="213">
        <v>0</v>
      </c>
      <c r="W366" s="213">
        <v>0</v>
      </c>
    </row>
    <row r="367" spans="1:23" s="5" customFormat="1" ht="15" customHeight="1">
      <c r="A367" s="2"/>
      <c r="B367" s="2"/>
      <c r="C367" s="3"/>
      <c r="D367" s="47" t="s">
        <v>2033</v>
      </c>
      <c r="E367" s="15"/>
      <c r="F367" s="105"/>
      <c r="G367" s="26"/>
      <c r="H367" s="26"/>
      <c r="I367" s="26"/>
      <c r="J367" s="26"/>
      <c r="K367" s="26"/>
      <c r="L367" s="26"/>
      <c r="M367" s="26"/>
      <c r="N367" s="26"/>
      <c r="O367" s="282"/>
      <c r="P367" s="202">
        <v>352</v>
      </c>
      <c r="Q367" s="210">
        <v>10</v>
      </c>
      <c r="R367" s="205" t="s">
        <v>320</v>
      </c>
      <c r="S367" s="206" t="s">
        <v>216</v>
      </c>
      <c r="T367" s="211">
        <v>0</v>
      </c>
      <c r="U367" s="211">
        <v>0</v>
      </c>
      <c r="V367" s="213">
        <v>0</v>
      </c>
      <c r="W367" s="213">
        <v>0</v>
      </c>
    </row>
    <row r="368" spans="1:23" ht="15" customHeight="1">
      <c r="G368" s="26"/>
      <c r="H368" s="26"/>
      <c r="I368" s="26"/>
      <c r="J368" s="26"/>
      <c r="K368" s="26"/>
      <c r="L368" s="26"/>
      <c r="M368" s="26"/>
      <c r="N368" s="26"/>
      <c r="P368" s="202">
        <v>353</v>
      </c>
      <c r="Q368" s="210">
        <v>10</v>
      </c>
      <c r="R368" s="205" t="s">
        <v>321</v>
      </c>
      <c r="S368" s="206" t="s">
        <v>139</v>
      </c>
      <c r="T368" s="211">
        <v>40000</v>
      </c>
      <c r="U368" s="211">
        <v>3485</v>
      </c>
      <c r="V368" s="213">
        <v>23150</v>
      </c>
      <c r="W368" s="213">
        <v>57.88</v>
      </c>
    </row>
    <row r="369" spans="1:23" ht="15" customHeight="1">
      <c r="C369" s="3">
        <v>10</v>
      </c>
      <c r="D369" s="15" t="s">
        <v>298</v>
      </c>
      <c r="E369" s="312" t="s">
        <v>79</v>
      </c>
      <c r="G369" s="26">
        <v>0</v>
      </c>
      <c r="H369" s="26">
        <v>0</v>
      </c>
      <c r="I369" s="26">
        <v>0</v>
      </c>
      <c r="J369" s="26">
        <v>0</v>
      </c>
      <c r="K369" s="26">
        <v>0</v>
      </c>
      <c r="L369" s="26">
        <v>0</v>
      </c>
      <c r="M369" s="26">
        <v>0</v>
      </c>
      <c r="N369" s="26">
        <v>0</v>
      </c>
      <c r="P369" s="202">
        <v>354</v>
      </c>
      <c r="Q369" s="210">
        <v>10</v>
      </c>
      <c r="R369" s="205" t="s">
        <v>322</v>
      </c>
      <c r="S369" s="206" t="s">
        <v>145</v>
      </c>
      <c r="T369" s="211">
        <v>0</v>
      </c>
      <c r="U369" s="211">
        <v>0</v>
      </c>
      <c r="V369" s="213">
        <v>0</v>
      </c>
      <c r="W369" s="213">
        <v>0</v>
      </c>
    </row>
    <row r="370" spans="1:23" ht="15" customHeight="1">
      <c r="C370" s="3">
        <v>10</v>
      </c>
      <c r="D370" s="15" t="s">
        <v>299</v>
      </c>
      <c r="E370" s="312" t="s">
        <v>81</v>
      </c>
      <c r="G370" s="26">
        <v>0</v>
      </c>
      <c r="H370" s="26">
        <v>0</v>
      </c>
      <c r="I370" s="26">
        <v>0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P370" s="202">
        <v>355</v>
      </c>
      <c r="Q370" s="210">
        <v>10</v>
      </c>
      <c r="R370" s="205" t="s">
        <v>323</v>
      </c>
      <c r="S370" s="206" t="s">
        <v>147</v>
      </c>
      <c r="T370" s="211">
        <v>0</v>
      </c>
      <c r="U370" s="211">
        <v>0</v>
      </c>
      <c r="V370" s="213">
        <v>0</v>
      </c>
      <c r="W370" s="213">
        <v>0</v>
      </c>
    </row>
    <row r="371" spans="1:23" ht="15" customHeight="1">
      <c r="C371" s="3">
        <v>10</v>
      </c>
      <c r="D371" s="15" t="s">
        <v>300</v>
      </c>
      <c r="E371" s="312" t="s">
        <v>83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P371" s="202">
        <v>356</v>
      </c>
      <c r="Q371" s="210">
        <v>10</v>
      </c>
      <c r="R371" s="205" t="s">
        <v>324</v>
      </c>
      <c r="S371" s="206" t="s">
        <v>151</v>
      </c>
      <c r="T371" s="211">
        <v>100</v>
      </c>
      <c r="U371" s="211">
        <v>0</v>
      </c>
      <c r="V371" s="213">
        <v>0</v>
      </c>
      <c r="W371" s="213">
        <v>0</v>
      </c>
    </row>
    <row r="372" spans="1:23" ht="15" customHeight="1">
      <c r="C372" s="3">
        <v>10</v>
      </c>
      <c r="D372" s="15" t="s">
        <v>301</v>
      </c>
      <c r="E372" s="312" t="s">
        <v>85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P372" s="202">
        <v>357</v>
      </c>
      <c r="Q372" s="210">
        <v>10</v>
      </c>
      <c r="R372" s="205" t="s">
        <v>325</v>
      </c>
      <c r="S372" s="206" t="s">
        <v>153</v>
      </c>
      <c r="T372" s="211">
        <v>2000</v>
      </c>
      <c r="U372" s="211">
        <v>0</v>
      </c>
      <c r="V372" s="213">
        <v>562.84</v>
      </c>
      <c r="W372" s="213">
        <v>28.14</v>
      </c>
    </row>
    <row r="373" spans="1:23" ht="15" customHeight="1">
      <c r="C373" s="3">
        <v>10</v>
      </c>
      <c r="D373" s="15" t="s">
        <v>302</v>
      </c>
      <c r="E373" s="312" t="s">
        <v>87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P373" s="202">
        <v>358</v>
      </c>
      <c r="Q373" s="210">
        <v>10</v>
      </c>
      <c r="R373" s="205" t="s">
        <v>326</v>
      </c>
      <c r="S373" s="206" t="s">
        <v>155</v>
      </c>
      <c r="T373" s="211">
        <v>0</v>
      </c>
      <c r="U373" s="211">
        <v>0</v>
      </c>
      <c r="V373" s="213">
        <v>0</v>
      </c>
      <c r="W373" s="213">
        <v>0</v>
      </c>
    </row>
    <row r="374" spans="1:23" ht="15" customHeight="1">
      <c r="C374" s="3">
        <v>10</v>
      </c>
      <c r="D374" s="15" t="s">
        <v>303</v>
      </c>
      <c r="E374" s="312" t="s">
        <v>89</v>
      </c>
      <c r="G374" s="26">
        <v>0</v>
      </c>
      <c r="H374" s="26">
        <v>0</v>
      </c>
      <c r="I374" s="26">
        <v>0</v>
      </c>
      <c r="J374" s="26">
        <v>0</v>
      </c>
      <c r="K374" s="26">
        <v>0</v>
      </c>
      <c r="L374" s="26">
        <v>0</v>
      </c>
      <c r="M374" s="26">
        <v>0</v>
      </c>
      <c r="N374" s="26">
        <v>0</v>
      </c>
      <c r="P374" s="202">
        <v>359</v>
      </c>
      <c r="Q374" s="210">
        <v>10</v>
      </c>
      <c r="R374" s="205" t="s">
        <v>327</v>
      </c>
      <c r="S374" s="206" t="s">
        <v>162</v>
      </c>
      <c r="T374" s="211">
        <v>0</v>
      </c>
      <c r="U374" s="211">
        <v>0</v>
      </c>
      <c r="V374" s="213">
        <v>0</v>
      </c>
      <c r="W374" s="213">
        <v>0</v>
      </c>
    </row>
    <row r="375" spans="1:23" ht="15" customHeight="1">
      <c r="C375" s="3">
        <v>10</v>
      </c>
      <c r="D375" s="15" t="s">
        <v>304</v>
      </c>
      <c r="E375" s="312" t="s">
        <v>91</v>
      </c>
      <c r="G375" s="26">
        <v>0</v>
      </c>
      <c r="H375" s="26">
        <v>0</v>
      </c>
      <c r="I375" s="26">
        <v>0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P375" s="202">
        <v>360</v>
      </c>
      <c r="Q375" s="210">
        <v>10</v>
      </c>
      <c r="R375" s="205" t="s">
        <v>2623</v>
      </c>
      <c r="S375" s="206"/>
      <c r="T375" s="211"/>
      <c r="U375" s="211"/>
      <c r="V375" s="213"/>
      <c r="W375" s="213"/>
    </row>
    <row r="376" spans="1:23" ht="15" customHeight="1">
      <c r="C376" s="3">
        <v>10</v>
      </c>
      <c r="D376" s="15" t="s">
        <v>305</v>
      </c>
      <c r="E376" s="312" t="s">
        <v>93</v>
      </c>
      <c r="G376" s="26">
        <v>0</v>
      </c>
      <c r="H376" s="26">
        <v>0</v>
      </c>
      <c r="I376" s="26">
        <v>0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P376" s="202">
        <v>361</v>
      </c>
      <c r="Q376" s="210">
        <v>10</v>
      </c>
      <c r="R376" s="205" t="s">
        <v>135</v>
      </c>
      <c r="S376" s="206"/>
      <c r="T376" s="211">
        <v>42100</v>
      </c>
      <c r="U376" s="211">
        <v>3485</v>
      </c>
      <c r="V376" s="213">
        <v>23712.84</v>
      </c>
      <c r="W376" s="213">
        <v>0</v>
      </c>
    </row>
    <row r="377" spans="1:23" ht="15" customHeight="1">
      <c r="C377" s="3">
        <v>10</v>
      </c>
      <c r="D377" s="15" t="s">
        <v>306</v>
      </c>
      <c r="E377" s="312" t="s">
        <v>95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P377" s="202">
        <v>362</v>
      </c>
      <c r="Q377" s="210">
        <v>10</v>
      </c>
      <c r="R377" s="205" t="s">
        <v>163</v>
      </c>
      <c r="S377" s="206"/>
      <c r="T377" s="211"/>
      <c r="U377" s="211"/>
      <c r="V377" s="213"/>
      <c r="W377" s="213"/>
    </row>
    <row r="378" spans="1:23" ht="15" customHeight="1">
      <c r="C378" s="3">
        <v>10</v>
      </c>
      <c r="D378" s="15" t="s">
        <v>307</v>
      </c>
      <c r="E378" s="312" t="s">
        <v>97</v>
      </c>
      <c r="G378" s="26">
        <v>0</v>
      </c>
      <c r="H378" s="26">
        <v>0</v>
      </c>
      <c r="I378" s="26">
        <v>0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P378" s="202">
        <v>363</v>
      </c>
      <c r="Q378" s="210">
        <v>10</v>
      </c>
      <c r="R378" s="205" t="s">
        <v>2627</v>
      </c>
      <c r="S378" s="206"/>
      <c r="T378" s="211"/>
      <c r="U378" s="211"/>
      <c r="V378" s="213"/>
      <c r="W378" s="213"/>
    </row>
    <row r="379" spans="1:23" ht="15" customHeight="1">
      <c r="C379" s="3">
        <v>10</v>
      </c>
      <c r="D379" s="15" t="s">
        <v>308</v>
      </c>
      <c r="E379" s="312" t="s">
        <v>99</v>
      </c>
      <c r="G379" s="26">
        <v>0</v>
      </c>
      <c r="H379" s="26">
        <v>0</v>
      </c>
      <c r="I379" s="26">
        <v>0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P379" s="202">
        <v>364</v>
      </c>
      <c r="Q379" s="210">
        <v>10</v>
      </c>
      <c r="R379" s="205" t="s">
        <v>328</v>
      </c>
      <c r="S379" s="206" t="s">
        <v>329</v>
      </c>
      <c r="T379" s="211">
        <v>0</v>
      </c>
      <c r="U379" s="211">
        <v>0</v>
      </c>
      <c r="V379" s="213">
        <v>0</v>
      </c>
      <c r="W379" s="213">
        <v>0</v>
      </c>
    </row>
    <row r="380" spans="1:23" ht="15" customHeight="1">
      <c r="C380" s="3">
        <v>10</v>
      </c>
      <c r="D380" s="15" t="s">
        <v>309</v>
      </c>
      <c r="E380" s="312" t="s">
        <v>101</v>
      </c>
      <c r="G380" s="26">
        <v>0</v>
      </c>
      <c r="H380" s="26">
        <v>0</v>
      </c>
      <c r="I380" s="26">
        <v>0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P380" s="202">
        <v>365</v>
      </c>
      <c r="Q380" s="210">
        <v>10</v>
      </c>
      <c r="R380" s="205" t="s">
        <v>330</v>
      </c>
      <c r="S380" s="206" t="s">
        <v>165</v>
      </c>
      <c r="T380" s="211">
        <v>0</v>
      </c>
      <c r="U380" s="211">
        <v>0</v>
      </c>
      <c r="V380" s="213">
        <v>0</v>
      </c>
      <c r="W380" s="213">
        <v>0</v>
      </c>
    </row>
    <row r="381" spans="1:23" ht="15" customHeight="1">
      <c r="C381" s="3">
        <v>10</v>
      </c>
      <c r="D381" s="15" t="s">
        <v>310</v>
      </c>
      <c r="E381" s="312" t="s">
        <v>103</v>
      </c>
      <c r="G381" s="26">
        <v>0</v>
      </c>
      <c r="H381" s="26">
        <v>0</v>
      </c>
      <c r="I381" s="26">
        <v>0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P381" s="202">
        <v>366</v>
      </c>
      <c r="Q381" s="210">
        <v>10</v>
      </c>
      <c r="R381" s="205" t="s">
        <v>331</v>
      </c>
      <c r="S381" s="206" t="s">
        <v>167</v>
      </c>
      <c r="T381" s="211">
        <v>0</v>
      </c>
      <c r="U381" s="211">
        <v>0</v>
      </c>
      <c r="V381" s="213">
        <v>0</v>
      </c>
      <c r="W381" s="213">
        <v>0</v>
      </c>
    </row>
    <row r="382" spans="1:23" ht="15" customHeight="1">
      <c r="G382" s="26"/>
      <c r="H382" s="26"/>
      <c r="I382" s="26"/>
      <c r="J382" s="26"/>
      <c r="K382" s="26"/>
      <c r="L382" s="26"/>
      <c r="M382" s="26"/>
      <c r="N382" s="26"/>
      <c r="P382" s="202">
        <v>367</v>
      </c>
      <c r="Q382" s="210">
        <v>10</v>
      </c>
      <c r="R382" s="205" t="s">
        <v>332</v>
      </c>
      <c r="S382" s="206" t="s">
        <v>169</v>
      </c>
      <c r="T382" s="211">
        <v>0</v>
      </c>
      <c r="U382" s="211">
        <v>0</v>
      </c>
      <c r="V382" s="213">
        <v>0</v>
      </c>
      <c r="W382" s="213">
        <v>0</v>
      </c>
    </row>
    <row r="383" spans="1:23" s="72" customFormat="1" ht="15" customHeight="1">
      <c r="A383" s="5" t="s">
        <v>2410</v>
      </c>
      <c r="B383" s="5" t="s">
        <v>2317</v>
      </c>
      <c r="C383" s="3"/>
      <c r="D383" s="323" t="s">
        <v>2034</v>
      </c>
      <c r="E383" s="323"/>
      <c r="F383" s="324"/>
      <c r="G383" s="325">
        <f>SUM(G367:G382)</f>
        <v>0</v>
      </c>
      <c r="H383" s="325">
        <f t="shared" ref="H383:N383" si="46">SUM(H367:H382)</f>
        <v>0</v>
      </c>
      <c r="I383" s="325">
        <f t="shared" si="46"/>
        <v>0</v>
      </c>
      <c r="J383" s="325">
        <f t="shared" si="46"/>
        <v>0</v>
      </c>
      <c r="K383" s="325">
        <f t="shared" si="46"/>
        <v>0</v>
      </c>
      <c r="L383" s="325">
        <f t="shared" si="46"/>
        <v>0</v>
      </c>
      <c r="M383" s="325">
        <f t="shared" si="46"/>
        <v>0</v>
      </c>
      <c r="N383" s="325">
        <f t="shared" si="46"/>
        <v>0</v>
      </c>
      <c r="O383" s="286"/>
      <c r="P383" s="202">
        <v>368</v>
      </c>
      <c r="Q383" s="210">
        <v>10</v>
      </c>
      <c r="R383" s="205" t="s">
        <v>333</v>
      </c>
      <c r="S383" s="206" t="s">
        <v>175</v>
      </c>
      <c r="T383" s="211">
        <v>0</v>
      </c>
      <c r="U383" s="211">
        <v>0</v>
      </c>
      <c r="V383" s="213">
        <v>0</v>
      </c>
      <c r="W383" s="213">
        <v>0</v>
      </c>
    </row>
    <row r="384" spans="1:23" s="46" customFormat="1" ht="15" customHeight="1">
      <c r="A384" s="2"/>
      <c r="B384" s="2"/>
      <c r="C384" s="3"/>
      <c r="D384" s="47"/>
      <c r="E384" s="47"/>
      <c r="F384" s="191"/>
      <c r="G384" s="48"/>
      <c r="H384" s="48"/>
      <c r="I384" s="48"/>
      <c r="J384" s="48"/>
      <c r="K384" s="48"/>
      <c r="L384" s="48"/>
      <c r="M384" s="48"/>
      <c r="N384" s="48"/>
      <c r="O384" s="289"/>
      <c r="P384" s="202">
        <v>369</v>
      </c>
      <c r="Q384" s="210">
        <v>10</v>
      </c>
      <c r="R384" s="205" t="s">
        <v>334</v>
      </c>
      <c r="S384" s="206" t="s">
        <v>244</v>
      </c>
      <c r="T384" s="211">
        <v>0</v>
      </c>
      <c r="U384" s="211">
        <v>0</v>
      </c>
      <c r="V384" s="213">
        <v>0</v>
      </c>
      <c r="W384" s="213">
        <v>0</v>
      </c>
    </row>
    <row r="385" spans="1:23" s="5" customFormat="1" ht="15" customHeight="1">
      <c r="A385" s="2"/>
      <c r="B385" s="2"/>
      <c r="C385" s="3"/>
      <c r="D385" s="47" t="s">
        <v>2035</v>
      </c>
      <c r="E385" s="15"/>
      <c r="F385" s="105"/>
      <c r="G385" s="26"/>
      <c r="H385" s="26"/>
      <c r="I385" s="26"/>
      <c r="J385" s="26"/>
      <c r="K385" s="26"/>
      <c r="L385" s="26"/>
      <c r="M385" s="26"/>
      <c r="N385" s="26"/>
      <c r="O385" s="282"/>
      <c r="P385" s="202">
        <v>370</v>
      </c>
      <c r="Q385" s="210">
        <v>10</v>
      </c>
      <c r="R385" s="205" t="s">
        <v>2623</v>
      </c>
      <c r="S385" s="206"/>
      <c r="T385" s="211"/>
      <c r="U385" s="211"/>
      <c r="V385" s="213"/>
      <c r="W385" s="213"/>
    </row>
    <row r="386" spans="1:23" ht="15" customHeight="1">
      <c r="G386" s="26"/>
      <c r="H386" s="26"/>
      <c r="I386" s="26"/>
      <c r="J386" s="26"/>
      <c r="K386" s="26"/>
      <c r="L386" s="26"/>
      <c r="M386" s="26"/>
      <c r="N386" s="26"/>
      <c r="P386" s="202">
        <v>371</v>
      </c>
      <c r="Q386" s="210">
        <v>10</v>
      </c>
      <c r="R386" s="205" t="s">
        <v>163</v>
      </c>
      <c r="S386" s="206"/>
      <c r="T386" s="211">
        <v>0</v>
      </c>
      <c r="U386" s="211">
        <v>0</v>
      </c>
      <c r="V386" s="213">
        <v>0</v>
      </c>
      <c r="W386" s="213">
        <v>0</v>
      </c>
    </row>
    <row r="387" spans="1:23" ht="15" customHeight="1">
      <c r="C387" s="3">
        <v>10</v>
      </c>
      <c r="D387" s="15" t="s">
        <v>311</v>
      </c>
      <c r="E387" s="312" t="s">
        <v>115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85"/>
      <c r="P387" s="202">
        <v>372</v>
      </c>
      <c r="Q387" s="210">
        <v>10</v>
      </c>
      <c r="R387" s="205" t="s">
        <v>245</v>
      </c>
      <c r="S387" s="206"/>
      <c r="T387" s="211"/>
      <c r="U387" s="211"/>
      <c r="V387" s="213"/>
      <c r="W387" s="213"/>
    </row>
    <row r="388" spans="1:23" ht="15" customHeight="1">
      <c r="C388" s="3">
        <v>10</v>
      </c>
      <c r="D388" s="15" t="s">
        <v>312</v>
      </c>
      <c r="E388" s="312" t="s">
        <v>117</v>
      </c>
      <c r="G388" s="26">
        <v>0</v>
      </c>
      <c r="H388" s="26">
        <v>0</v>
      </c>
      <c r="I388" s="26">
        <v>0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85"/>
      <c r="P388" s="202">
        <v>373</v>
      </c>
      <c r="Q388" s="210">
        <v>10</v>
      </c>
      <c r="R388" s="205" t="s">
        <v>2628</v>
      </c>
      <c r="S388" s="206"/>
      <c r="T388" s="211"/>
      <c r="U388" s="211"/>
      <c r="V388" s="213"/>
      <c r="W388" s="213"/>
    </row>
    <row r="389" spans="1:23" ht="15" customHeight="1">
      <c r="C389" s="3">
        <v>10</v>
      </c>
      <c r="D389" s="15" t="s">
        <v>313</v>
      </c>
      <c r="E389" s="312" t="s">
        <v>119</v>
      </c>
      <c r="G389" s="26">
        <v>0</v>
      </c>
      <c r="H389" s="26">
        <v>0</v>
      </c>
      <c r="I389" s="26">
        <v>0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85"/>
      <c r="P389" s="202">
        <v>374</v>
      </c>
      <c r="Q389" s="210">
        <v>10</v>
      </c>
      <c r="R389" s="205" t="s">
        <v>335</v>
      </c>
      <c r="S389" s="206" t="s">
        <v>329</v>
      </c>
      <c r="T389" s="211">
        <v>0</v>
      </c>
      <c r="U389" s="211">
        <v>0</v>
      </c>
      <c r="V389" s="213">
        <v>0</v>
      </c>
      <c r="W389" s="213">
        <v>0</v>
      </c>
    </row>
    <row r="390" spans="1:23" ht="15" customHeight="1">
      <c r="C390" s="3">
        <v>10</v>
      </c>
      <c r="D390" s="15" t="s">
        <v>314</v>
      </c>
      <c r="E390" s="312" t="s">
        <v>121</v>
      </c>
      <c r="G390" s="26">
        <v>0</v>
      </c>
      <c r="H390" s="26">
        <v>0</v>
      </c>
      <c r="I390" s="26">
        <v>0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85"/>
      <c r="P390" s="202">
        <v>375</v>
      </c>
      <c r="Q390" s="210">
        <v>10</v>
      </c>
      <c r="R390" s="205" t="s">
        <v>336</v>
      </c>
      <c r="S390" s="206" t="s">
        <v>165</v>
      </c>
      <c r="T390" s="211">
        <v>0</v>
      </c>
      <c r="U390" s="211">
        <v>0</v>
      </c>
      <c r="V390" s="213">
        <v>0</v>
      </c>
      <c r="W390" s="213">
        <v>0</v>
      </c>
    </row>
    <row r="391" spans="1:23" ht="15" customHeight="1">
      <c r="C391" s="3">
        <v>10</v>
      </c>
      <c r="D391" s="15" t="s">
        <v>315</v>
      </c>
      <c r="E391" s="312" t="s">
        <v>123</v>
      </c>
      <c r="G391" s="26">
        <v>0</v>
      </c>
      <c r="H391" s="26">
        <v>0</v>
      </c>
      <c r="I391" s="26">
        <v>0</v>
      </c>
      <c r="J391" s="26">
        <v>88</v>
      </c>
      <c r="K391" s="26">
        <v>0</v>
      </c>
      <c r="L391" s="26">
        <v>0</v>
      </c>
      <c r="M391" s="26">
        <v>0</v>
      </c>
      <c r="N391" s="26">
        <v>0</v>
      </c>
      <c r="O391" s="285"/>
      <c r="P391" s="202">
        <v>376</v>
      </c>
      <c r="Q391" s="210">
        <v>10</v>
      </c>
      <c r="R391" s="205" t="s">
        <v>337</v>
      </c>
      <c r="S391" s="206" t="s">
        <v>167</v>
      </c>
      <c r="T391" s="211">
        <v>0</v>
      </c>
      <c r="U391" s="211">
        <v>0</v>
      </c>
      <c r="V391" s="213">
        <v>0</v>
      </c>
      <c r="W391" s="213">
        <v>0</v>
      </c>
    </row>
    <row r="392" spans="1:23" ht="15" customHeight="1">
      <c r="C392" s="3">
        <v>10</v>
      </c>
      <c r="D392" s="15" t="s">
        <v>316</v>
      </c>
      <c r="E392" s="312" t="s">
        <v>125</v>
      </c>
      <c r="G392" s="26">
        <v>11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85"/>
      <c r="P392" s="202">
        <v>377</v>
      </c>
      <c r="Q392" s="210">
        <v>10</v>
      </c>
      <c r="R392" s="205" t="s">
        <v>338</v>
      </c>
      <c r="S392" s="206" t="s">
        <v>247</v>
      </c>
      <c r="T392" s="211">
        <v>0</v>
      </c>
      <c r="U392" s="211">
        <v>0</v>
      </c>
      <c r="V392" s="213">
        <v>0</v>
      </c>
      <c r="W392" s="213">
        <v>0</v>
      </c>
    </row>
    <row r="393" spans="1:23" ht="15" customHeight="1">
      <c r="C393" s="3">
        <v>10</v>
      </c>
      <c r="D393" s="15" t="s">
        <v>317</v>
      </c>
      <c r="E393" s="312" t="s">
        <v>106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85"/>
      <c r="P393" s="202">
        <v>378</v>
      </c>
      <c r="Q393" s="210">
        <v>10</v>
      </c>
      <c r="R393" s="205" t="s">
        <v>2623</v>
      </c>
      <c r="S393" s="206"/>
      <c r="T393" s="211"/>
      <c r="U393" s="211"/>
      <c r="V393" s="213"/>
      <c r="W393" s="213"/>
    </row>
    <row r="394" spans="1:23" ht="15" customHeight="1">
      <c r="C394" s="3">
        <v>10</v>
      </c>
      <c r="D394" s="15" t="s">
        <v>318</v>
      </c>
      <c r="E394" s="312" t="s">
        <v>132</v>
      </c>
      <c r="G394" s="26">
        <v>0</v>
      </c>
      <c r="H394" s="26">
        <v>0</v>
      </c>
      <c r="I394" s="26">
        <v>0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85"/>
      <c r="P394" s="202">
        <v>379</v>
      </c>
      <c r="Q394" s="210">
        <v>10</v>
      </c>
      <c r="R394" s="205" t="s">
        <v>245</v>
      </c>
      <c r="S394" s="206"/>
      <c r="T394" s="211">
        <v>0</v>
      </c>
      <c r="U394" s="211">
        <v>0</v>
      </c>
      <c r="V394" s="213">
        <v>0</v>
      </c>
      <c r="W394" s="213">
        <v>0</v>
      </c>
    </row>
    <row r="395" spans="1:23" ht="15" customHeight="1">
      <c r="G395" s="26"/>
      <c r="H395" s="26"/>
      <c r="I395" s="26"/>
      <c r="J395" s="26"/>
      <c r="K395" s="26"/>
      <c r="L395" s="26"/>
      <c r="M395" s="26"/>
      <c r="N395" s="26"/>
      <c r="P395" s="202">
        <v>380</v>
      </c>
      <c r="Q395" s="210">
        <v>10</v>
      </c>
      <c r="R395" s="205" t="s">
        <v>2623</v>
      </c>
      <c r="S395" s="206"/>
      <c r="T395" s="211"/>
      <c r="U395" s="211"/>
      <c r="V395" s="213"/>
      <c r="W395" s="213"/>
    </row>
    <row r="396" spans="1:23" s="200" customFormat="1" ht="15" customHeight="1">
      <c r="A396" s="196" t="s">
        <v>104</v>
      </c>
      <c r="B396" s="196" t="s">
        <v>2317</v>
      </c>
      <c r="C396" s="75"/>
      <c r="D396" s="323" t="s">
        <v>2036</v>
      </c>
      <c r="E396" s="323"/>
      <c r="F396" s="324"/>
      <c r="G396" s="325">
        <f>SUM(G385:G395)</f>
        <v>11</v>
      </c>
      <c r="H396" s="325">
        <f t="shared" ref="H396:N396" si="47">SUM(H385:H395)</f>
        <v>0</v>
      </c>
      <c r="I396" s="325">
        <f t="shared" si="47"/>
        <v>0</v>
      </c>
      <c r="J396" s="325">
        <f t="shared" si="47"/>
        <v>88</v>
      </c>
      <c r="K396" s="325">
        <f t="shared" si="47"/>
        <v>0</v>
      </c>
      <c r="L396" s="325">
        <f t="shared" si="47"/>
        <v>0</v>
      </c>
      <c r="M396" s="325">
        <f t="shared" si="47"/>
        <v>0</v>
      </c>
      <c r="N396" s="325">
        <f t="shared" si="47"/>
        <v>0</v>
      </c>
      <c r="O396" s="287"/>
      <c r="P396" s="202">
        <v>381</v>
      </c>
      <c r="Q396" s="210">
        <v>10</v>
      </c>
      <c r="R396" s="205" t="s">
        <v>4</v>
      </c>
      <c r="S396" s="206"/>
      <c r="T396" s="211">
        <v>42100</v>
      </c>
      <c r="U396" s="211">
        <v>3485</v>
      </c>
      <c r="V396" s="213">
        <v>23712.84</v>
      </c>
      <c r="W396" s="213">
        <v>56.33</v>
      </c>
    </row>
    <row r="397" spans="1:23" s="46" customFormat="1" ht="15" customHeight="1">
      <c r="A397" s="2"/>
      <c r="B397" s="2"/>
      <c r="C397" s="3"/>
      <c r="D397" s="47"/>
      <c r="E397" s="47"/>
      <c r="F397" s="191"/>
      <c r="G397" s="48"/>
      <c r="H397" s="48"/>
      <c r="I397" s="48"/>
      <c r="J397" s="48"/>
      <c r="K397" s="48"/>
      <c r="L397" s="48"/>
      <c r="M397" s="48"/>
      <c r="N397" s="48"/>
      <c r="O397" s="289"/>
      <c r="P397" s="202">
        <v>382</v>
      </c>
      <c r="Q397" s="210">
        <v>10</v>
      </c>
      <c r="R397" s="205" t="s">
        <v>2621</v>
      </c>
      <c r="S397" s="206"/>
      <c r="T397" s="211"/>
      <c r="U397" s="211"/>
      <c r="V397" s="213"/>
      <c r="W397" s="213"/>
    </row>
    <row r="398" spans="1:23" ht="15" customHeight="1">
      <c r="D398" s="47" t="s">
        <v>2037</v>
      </c>
      <c r="G398" s="26"/>
      <c r="H398" s="26"/>
      <c r="I398" s="26"/>
      <c r="J398" s="26"/>
      <c r="K398" s="26"/>
      <c r="L398" s="26"/>
      <c r="M398" s="26"/>
      <c r="N398" s="26"/>
      <c r="P398" s="202">
        <v>383</v>
      </c>
      <c r="Q398" s="210">
        <v>10</v>
      </c>
      <c r="R398" s="205" t="s">
        <v>2622</v>
      </c>
      <c r="S398" s="206"/>
      <c r="T398" s="211"/>
      <c r="U398" s="211"/>
      <c r="V398" s="213"/>
      <c r="W398" s="213"/>
    </row>
    <row r="399" spans="1:23" ht="15" customHeight="1">
      <c r="G399" s="26"/>
      <c r="H399" s="26"/>
      <c r="I399" s="26"/>
      <c r="J399" s="26"/>
      <c r="K399" s="26"/>
      <c r="L399" s="26"/>
      <c r="M399" s="26"/>
      <c r="N399" s="26"/>
      <c r="O399" s="293"/>
      <c r="P399" s="202">
        <v>384</v>
      </c>
      <c r="Q399" s="210">
        <v>10</v>
      </c>
      <c r="R399" s="205" t="s">
        <v>339</v>
      </c>
      <c r="S399" s="206" t="s">
        <v>79</v>
      </c>
      <c r="T399" s="211">
        <v>0</v>
      </c>
      <c r="U399" s="211">
        <v>0</v>
      </c>
      <c r="V399" s="213">
        <v>0</v>
      </c>
      <c r="W399" s="213">
        <v>0</v>
      </c>
    </row>
    <row r="400" spans="1:23" ht="15" customHeight="1">
      <c r="C400" s="3">
        <v>10</v>
      </c>
      <c r="D400" s="15" t="s">
        <v>319</v>
      </c>
      <c r="E400" s="312" t="s">
        <v>137</v>
      </c>
      <c r="G400" s="26">
        <v>0</v>
      </c>
      <c r="H400" s="26">
        <v>0</v>
      </c>
      <c r="I400" s="26">
        <v>0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85"/>
      <c r="P400" s="202">
        <v>385</v>
      </c>
      <c r="Q400" s="210">
        <v>10</v>
      </c>
      <c r="R400" s="205" t="s">
        <v>340</v>
      </c>
      <c r="S400" s="206" t="s">
        <v>81</v>
      </c>
      <c r="T400" s="211">
        <v>0</v>
      </c>
      <c r="U400" s="211">
        <v>0</v>
      </c>
      <c r="V400" s="213">
        <v>2.58</v>
      </c>
      <c r="W400" s="213">
        <v>0</v>
      </c>
    </row>
    <row r="401" spans="1:23" ht="15" customHeight="1">
      <c r="C401" s="3">
        <v>10</v>
      </c>
      <c r="D401" s="15" t="s">
        <v>320</v>
      </c>
      <c r="E401" s="312" t="s">
        <v>216</v>
      </c>
      <c r="G401" s="26">
        <v>0</v>
      </c>
      <c r="H401" s="26">
        <v>0</v>
      </c>
      <c r="I401" s="26">
        <v>0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85"/>
      <c r="P401" s="202">
        <v>386</v>
      </c>
      <c r="Q401" s="210">
        <v>10</v>
      </c>
      <c r="R401" s="205" t="s">
        <v>341</v>
      </c>
      <c r="S401" s="206" t="s">
        <v>83</v>
      </c>
      <c r="T401" s="211">
        <v>0</v>
      </c>
      <c r="U401" s="211">
        <v>0</v>
      </c>
      <c r="V401" s="213">
        <v>0</v>
      </c>
      <c r="W401" s="213">
        <v>0</v>
      </c>
    </row>
    <row r="402" spans="1:23" ht="15" customHeight="1">
      <c r="C402" s="3">
        <v>10</v>
      </c>
      <c r="D402" s="15" t="s">
        <v>321</v>
      </c>
      <c r="E402" s="312" t="s">
        <v>139</v>
      </c>
      <c r="G402" s="26">
        <v>41281</v>
      </c>
      <c r="H402" s="26">
        <v>23003</v>
      </c>
      <c r="I402" s="26">
        <v>40100</v>
      </c>
      <c r="J402" s="26">
        <v>44597</v>
      </c>
      <c r="K402" s="26">
        <v>40000</v>
      </c>
      <c r="L402" s="26">
        <v>19665</v>
      </c>
      <c r="M402" s="26">
        <v>36000</v>
      </c>
      <c r="N402" s="26">
        <v>40000</v>
      </c>
      <c r="O402" s="285"/>
      <c r="P402" s="202">
        <v>387</v>
      </c>
      <c r="Q402" s="210">
        <v>10</v>
      </c>
      <c r="R402" s="205" t="s">
        <v>342</v>
      </c>
      <c r="S402" s="206" t="s">
        <v>85</v>
      </c>
      <c r="T402" s="211">
        <v>0</v>
      </c>
      <c r="U402" s="211">
        <v>0</v>
      </c>
      <c r="V402" s="213">
        <v>0</v>
      </c>
      <c r="W402" s="213">
        <v>0</v>
      </c>
    </row>
    <row r="403" spans="1:23" ht="15" customHeight="1">
      <c r="C403" s="3">
        <v>10</v>
      </c>
      <c r="D403" s="15" t="s">
        <v>322</v>
      </c>
      <c r="E403" s="312" t="s">
        <v>145</v>
      </c>
      <c r="G403" s="26">
        <v>0</v>
      </c>
      <c r="H403" s="26">
        <v>0</v>
      </c>
      <c r="I403" s="26">
        <v>0</v>
      </c>
      <c r="J403" s="26">
        <v>0</v>
      </c>
      <c r="K403" s="26">
        <v>0</v>
      </c>
      <c r="L403" s="26">
        <v>0</v>
      </c>
      <c r="M403" s="26">
        <v>0</v>
      </c>
      <c r="N403" s="26">
        <v>0</v>
      </c>
      <c r="O403" s="285"/>
      <c r="P403" s="202">
        <v>388</v>
      </c>
      <c r="Q403" s="210">
        <v>10</v>
      </c>
      <c r="R403" s="205" t="s">
        <v>343</v>
      </c>
      <c r="S403" s="206" t="s">
        <v>87</v>
      </c>
      <c r="T403" s="211">
        <v>117</v>
      </c>
      <c r="U403" s="211">
        <v>0</v>
      </c>
      <c r="V403" s="213">
        <v>0.78</v>
      </c>
      <c r="W403" s="213">
        <v>0.67</v>
      </c>
    </row>
    <row r="404" spans="1:23" ht="15" customHeight="1">
      <c r="C404" s="3">
        <v>10</v>
      </c>
      <c r="D404" s="15" t="s">
        <v>323</v>
      </c>
      <c r="E404" s="312" t="s">
        <v>147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85"/>
      <c r="P404" s="202">
        <v>389</v>
      </c>
      <c r="Q404" s="210">
        <v>10</v>
      </c>
      <c r="R404" s="205" t="s">
        <v>344</v>
      </c>
      <c r="S404" s="206" t="s">
        <v>89</v>
      </c>
      <c r="T404" s="211">
        <v>0</v>
      </c>
      <c r="U404" s="211">
        <v>0</v>
      </c>
      <c r="V404" s="213">
        <v>1.74</v>
      </c>
      <c r="W404" s="213">
        <v>0</v>
      </c>
    </row>
    <row r="405" spans="1:23" ht="15" customHeight="1">
      <c r="C405" s="3">
        <v>10</v>
      </c>
      <c r="D405" s="15" t="s">
        <v>324</v>
      </c>
      <c r="E405" s="312" t="s">
        <v>151</v>
      </c>
      <c r="G405" s="26">
        <v>0</v>
      </c>
      <c r="H405" s="26">
        <v>0</v>
      </c>
      <c r="I405" s="26">
        <v>0</v>
      </c>
      <c r="J405" s="26">
        <v>0</v>
      </c>
      <c r="K405" s="26">
        <v>100</v>
      </c>
      <c r="L405" s="26">
        <v>0</v>
      </c>
      <c r="M405" s="26">
        <v>0</v>
      </c>
      <c r="N405" s="26">
        <v>100</v>
      </c>
      <c r="O405" s="285"/>
      <c r="P405" s="202">
        <v>390</v>
      </c>
      <c r="Q405" s="210">
        <v>10</v>
      </c>
      <c r="R405" s="205" t="s">
        <v>345</v>
      </c>
      <c r="S405" s="206" t="s">
        <v>91</v>
      </c>
      <c r="T405" s="211">
        <v>1000</v>
      </c>
      <c r="U405" s="211">
        <v>0</v>
      </c>
      <c r="V405" s="213">
        <v>0</v>
      </c>
      <c r="W405" s="213">
        <v>0</v>
      </c>
    </row>
    <row r="406" spans="1:23" ht="15" customHeight="1">
      <c r="C406" s="3">
        <v>10</v>
      </c>
      <c r="D406" s="15" t="s">
        <v>325</v>
      </c>
      <c r="E406" s="312" t="s">
        <v>153</v>
      </c>
      <c r="G406" s="26">
        <v>1535</v>
      </c>
      <c r="H406" s="26">
        <v>797</v>
      </c>
      <c r="I406" s="26">
        <v>1095</v>
      </c>
      <c r="J406" s="26">
        <v>2606</v>
      </c>
      <c r="K406" s="26">
        <v>2000</v>
      </c>
      <c r="L406" s="26">
        <v>563</v>
      </c>
      <c r="M406" s="26">
        <v>2000</v>
      </c>
      <c r="N406" s="26">
        <v>2000</v>
      </c>
      <c r="O406" s="285"/>
      <c r="P406" s="202">
        <v>391</v>
      </c>
      <c r="Q406" s="210">
        <v>10</v>
      </c>
      <c r="R406" s="205" t="s">
        <v>346</v>
      </c>
      <c r="S406" s="206" t="s">
        <v>93</v>
      </c>
      <c r="T406" s="211">
        <v>0</v>
      </c>
      <c r="U406" s="211">
        <v>0</v>
      </c>
      <c r="V406" s="213">
        <v>0</v>
      </c>
      <c r="W406" s="213">
        <v>0</v>
      </c>
    </row>
    <row r="407" spans="1:23" ht="15" customHeight="1">
      <c r="C407" s="3">
        <v>10</v>
      </c>
      <c r="D407" s="15" t="s">
        <v>326</v>
      </c>
      <c r="E407" s="312" t="s">
        <v>155</v>
      </c>
      <c r="G407" s="26">
        <v>0</v>
      </c>
      <c r="H407" s="26">
        <v>0</v>
      </c>
      <c r="I407" s="26">
        <v>0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85"/>
      <c r="P407" s="202">
        <v>392</v>
      </c>
      <c r="Q407" s="210">
        <v>10</v>
      </c>
      <c r="R407" s="205" t="s">
        <v>347</v>
      </c>
      <c r="S407" s="206" t="s">
        <v>95</v>
      </c>
      <c r="T407" s="211">
        <v>0</v>
      </c>
      <c r="U407" s="211">
        <v>0</v>
      </c>
      <c r="V407" s="213">
        <v>0</v>
      </c>
      <c r="W407" s="213">
        <v>0</v>
      </c>
    </row>
    <row r="408" spans="1:23" ht="15" customHeight="1">
      <c r="C408" s="3">
        <v>10</v>
      </c>
      <c r="D408" s="15" t="s">
        <v>327</v>
      </c>
      <c r="E408" s="312" t="s">
        <v>162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85"/>
      <c r="P408" s="202">
        <v>393</v>
      </c>
      <c r="Q408" s="210">
        <v>10</v>
      </c>
      <c r="R408" s="205" t="s">
        <v>348</v>
      </c>
      <c r="S408" s="206" t="s">
        <v>97</v>
      </c>
      <c r="T408" s="211">
        <v>0</v>
      </c>
      <c r="U408" s="211">
        <v>0</v>
      </c>
      <c r="V408" s="213">
        <v>0</v>
      </c>
      <c r="W408" s="213">
        <v>0</v>
      </c>
    </row>
    <row r="409" spans="1:23" ht="15" customHeight="1">
      <c r="G409" s="26"/>
      <c r="H409" s="26"/>
      <c r="I409" s="26"/>
      <c r="J409" s="26"/>
      <c r="K409" s="26"/>
      <c r="L409" s="26"/>
      <c r="M409" s="26"/>
      <c r="N409" s="26"/>
      <c r="P409" s="202">
        <v>394</v>
      </c>
      <c r="Q409" s="210">
        <v>10</v>
      </c>
      <c r="R409" s="205" t="s">
        <v>349</v>
      </c>
      <c r="S409" s="206" t="s">
        <v>99</v>
      </c>
      <c r="T409" s="211">
        <v>0</v>
      </c>
      <c r="U409" s="211">
        <v>0</v>
      </c>
      <c r="V409" s="213">
        <v>0</v>
      </c>
      <c r="W409" s="213">
        <v>0</v>
      </c>
    </row>
    <row r="410" spans="1:23" s="22" customFormat="1" ht="15" customHeight="1">
      <c r="A410" s="2" t="s">
        <v>135</v>
      </c>
      <c r="B410" s="2" t="s">
        <v>2317</v>
      </c>
      <c r="C410" s="3"/>
      <c r="D410" s="323" t="s">
        <v>2038</v>
      </c>
      <c r="E410" s="323"/>
      <c r="F410" s="324"/>
      <c r="G410" s="325">
        <f>SUM(G398:G409)</f>
        <v>42816</v>
      </c>
      <c r="H410" s="325">
        <f t="shared" ref="H410:N410" si="48">SUM(H398:H409)</f>
        <v>23800</v>
      </c>
      <c r="I410" s="325">
        <f t="shared" si="48"/>
        <v>41195</v>
      </c>
      <c r="J410" s="325">
        <f t="shared" si="48"/>
        <v>47203</v>
      </c>
      <c r="K410" s="325">
        <f t="shared" si="48"/>
        <v>42100</v>
      </c>
      <c r="L410" s="325">
        <f t="shared" si="48"/>
        <v>20228</v>
      </c>
      <c r="M410" s="325">
        <f t="shared" si="48"/>
        <v>38000</v>
      </c>
      <c r="N410" s="325">
        <f t="shared" si="48"/>
        <v>42100</v>
      </c>
      <c r="O410" s="290"/>
      <c r="P410" s="202">
        <v>395</v>
      </c>
      <c r="Q410" s="210">
        <v>10</v>
      </c>
      <c r="R410" s="205" t="s">
        <v>350</v>
      </c>
      <c r="S410" s="206" t="s">
        <v>101</v>
      </c>
      <c r="T410" s="211">
        <v>0</v>
      </c>
      <c r="U410" s="211">
        <v>0</v>
      </c>
      <c r="V410" s="213">
        <v>0</v>
      </c>
      <c r="W410" s="213">
        <v>0</v>
      </c>
    </row>
    <row r="411" spans="1:23" s="46" customFormat="1" ht="15" customHeight="1">
      <c r="A411" s="2"/>
      <c r="B411" s="2"/>
      <c r="C411" s="3"/>
      <c r="D411" s="47"/>
      <c r="E411" s="47"/>
      <c r="F411" s="191"/>
      <c r="G411" s="48"/>
      <c r="H411" s="48"/>
      <c r="I411" s="48"/>
      <c r="J411" s="48"/>
      <c r="K411" s="48"/>
      <c r="L411" s="48"/>
      <c r="M411" s="48"/>
      <c r="N411" s="48"/>
      <c r="O411" s="289"/>
      <c r="P411" s="202">
        <v>396</v>
      </c>
      <c r="Q411" s="210">
        <v>10</v>
      </c>
      <c r="R411" s="205" t="s">
        <v>351</v>
      </c>
      <c r="S411" s="206" t="s">
        <v>103</v>
      </c>
      <c r="T411" s="211">
        <v>0</v>
      </c>
      <c r="U411" s="211">
        <v>0</v>
      </c>
      <c r="V411" s="213">
        <v>0</v>
      </c>
      <c r="W411" s="213">
        <v>0</v>
      </c>
    </row>
    <row r="412" spans="1:23" ht="15" customHeight="1">
      <c r="D412" s="47" t="s">
        <v>2039</v>
      </c>
      <c r="G412" s="26"/>
      <c r="H412" s="26"/>
      <c r="I412" s="26"/>
      <c r="J412" s="26"/>
      <c r="K412" s="26"/>
      <c r="L412" s="26"/>
      <c r="M412" s="26"/>
      <c r="N412" s="26"/>
      <c r="P412" s="202">
        <v>397</v>
      </c>
      <c r="Q412" s="210">
        <v>10</v>
      </c>
      <c r="R412" s="205" t="s">
        <v>2623</v>
      </c>
      <c r="S412" s="206"/>
      <c r="T412" s="211"/>
      <c r="U412" s="211"/>
      <c r="V412" s="213"/>
      <c r="W412" s="213"/>
    </row>
    <row r="413" spans="1:23" ht="15" customHeight="1">
      <c r="G413" s="26"/>
      <c r="H413" s="26"/>
      <c r="I413" s="26"/>
      <c r="J413" s="26"/>
      <c r="K413" s="26"/>
      <c r="L413" s="26"/>
      <c r="M413" s="26"/>
      <c r="N413" s="26"/>
      <c r="P413" s="202">
        <v>398</v>
      </c>
      <c r="Q413" s="210">
        <v>10</v>
      </c>
      <c r="R413" s="205" t="s">
        <v>2621</v>
      </c>
      <c r="S413" s="206"/>
      <c r="T413" s="211">
        <v>1117</v>
      </c>
      <c r="U413" s="211">
        <v>0</v>
      </c>
      <c r="V413" s="213">
        <v>5.0999999999999996</v>
      </c>
      <c r="W413" s="213">
        <v>0</v>
      </c>
    </row>
    <row r="414" spans="1:23" ht="15" customHeight="1">
      <c r="C414" s="3">
        <v>10</v>
      </c>
      <c r="D414" s="15" t="s">
        <v>328</v>
      </c>
      <c r="E414" s="312" t="s">
        <v>329</v>
      </c>
      <c r="G414" s="26">
        <v>0</v>
      </c>
      <c r="H414" s="26">
        <v>0</v>
      </c>
      <c r="I414" s="26">
        <v>0</v>
      </c>
      <c r="J414" s="26">
        <v>0</v>
      </c>
      <c r="K414" s="26">
        <v>0</v>
      </c>
      <c r="L414" s="26">
        <v>0</v>
      </c>
      <c r="M414" s="26">
        <v>0</v>
      </c>
      <c r="N414" s="26">
        <v>0</v>
      </c>
      <c r="O414" s="285"/>
      <c r="P414" s="202">
        <v>399</v>
      </c>
      <c r="Q414" s="210">
        <v>10</v>
      </c>
      <c r="R414" s="205" t="s">
        <v>104</v>
      </c>
      <c r="S414" s="206"/>
      <c r="T414" s="211"/>
      <c r="U414" s="211"/>
      <c r="V414" s="213"/>
      <c r="W414" s="213"/>
    </row>
    <row r="415" spans="1:23" ht="15" customHeight="1">
      <c r="C415" s="3">
        <v>10</v>
      </c>
      <c r="D415" s="15" t="s">
        <v>330</v>
      </c>
      <c r="E415" s="312" t="s">
        <v>165</v>
      </c>
      <c r="G415" s="26">
        <v>0</v>
      </c>
      <c r="H415" s="26">
        <v>0</v>
      </c>
      <c r="I415" s="26">
        <v>0</v>
      </c>
      <c r="J415" s="26">
        <v>0</v>
      </c>
      <c r="K415" s="26">
        <v>0</v>
      </c>
      <c r="L415" s="26">
        <v>0</v>
      </c>
      <c r="M415" s="26">
        <v>0</v>
      </c>
      <c r="N415" s="26">
        <v>0</v>
      </c>
      <c r="O415" s="285"/>
      <c r="P415" s="202">
        <v>400</v>
      </c>
      <c r="Q415" s="210">
        <v>10</v>
      </c>
      <c r="R415" s="205" t="s">
        <v>2624</v>
      </c>
      <c r="S415" s="206"/>
      <c r="T415" s="211"/>
      <c r="U415" s="211"/>
      <c r="V415" s="213"/>
      <c r="W415" s="213"/>
    </row>
    <row r="416" spans="1:23" ht="15" customHeight="1">
      <c r="C416" s="3">
        <v>10</v>
      </c>
      <c r="D416" s="15" t="s">
        <v>331</v>
      </c>
      <c r="E416" s="312" t="s">
        <v>167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85"/>
      <c r="P416" s="202">
        <v>401</v>
      </c>
      <c r="Q416" s="210">
        <v>10</v>
      </c>
      <c r="R416" s="205" t="s">
        <v>352</v>
      </c>
      <c r="S416" s="206" t="s">
        <v>115</v>
      </c>
      <c r="T416" s="211">
        <v>0</v>
      </c>
      <c r="U416" s="211">
        <v>0</v>
      </c>
      <c r="V416" s="213">
        <v>0</v>
      </c>
      <c r="W416" s="213">
        <v>0</v>
      </c>
    </row>
    <row r="417" spans="1:23" ht="15" customHeight="1">
      <c r="C417" s="3">
        <v>10</v>
      </c>
      <c r="D417" s="15" t="s">
        <v>332</v>
      </c>
      <c r="E417" s="312" t="s">
        <v>169</v>
      </c>
      <c r="G417" s="26">
        <v>0</v>
      </c>
      <c r="H417" s="26">
        <v>0</v>
      </c>
      <c r="I417" s="26">
        <v>0</v>
      </c>
      <c r="J417" s="26">
        <v>0</v>
      </c>
      <c r="K417" s="26">
        <v>0</v>
      </c>
      <c r="L417" s="26">
        <v>0</v>
      </c>
      <c r="M417" s="26">
        <v>0</v>
      </c>
      <c r="N417" s="26">
        <v>0</v>
      </c>
      <c r="O417" s="285"/>
      <c r="P417" s="202">
        <v>402</v>
      </c>
      <c r="Q417" s="210">
        <v>10</v>
      </c>
      <c r="R417" s="205" t="s">
        <v>353</v>
      </c>
      <c r="S417" s="206" t="s">
        <v>119</v>
      </c>
      <c r="T417" s="211">
        <v>0</v>
      </c>
      <c r="U417" s="211">
        <v>0</v>
      </c>
      <c r="V417" s="213">
        <v>0</v>
      </c>
      <c r="W417" s="213">
        <v>0</v>
      </c>
    </row>
    <row r="418" spans="1:23" ht="15" customHeight="1">
      <c r="C418" s="3">
        <v>10</v>
      </c>
      <c r="D418" s="15" t="s">
        <v>333</v>
      </c>
      <c r="E418" s="312" t="s">
        <v>175</v>
      </c>
      <c r="G418" s="26">
        <v>0</v>
      </c>
      <c r="H418" s="26">
        <v>0</v>
      </c>
      <c r="I418" s="26">
        <v>0</v>
      </c>
      <c r="J418" s="26">
        <v>0</v>
      </c>
      <c r="K418" s="26">
        <v>0</v>
      </c>
      <c r="L418" s="26">
        <v>0</v>
      </c>
      <c r="M418" s="26">
        <v>0</v>
      </c>
      <c r="N418" s="26">
        <v>0</v>
      </c>
      <c r="O418" s="285"/>
      <c r="P418" s="202">
        <v>403</v>
      </c>
      <c r="Q418" s="210">
        <v>10</v>
      </c>
      <c r="R418" s="205" t="s">
        <v>354</v>
      </c>
      <c r="S418" s="206" t="s">
        <v>121</v>
      </c>
      <c r="T418" s="211">
        <v>0</v>
      </c>
      <c r="U418" s="211">
        <v>0</v>
      </c>
      <c r="V418" s="213">
        <v>0</v>
      </c>
      <c r="W418" s="213">
        <v>0</v>
      </c>
    </row>
    <row r="419" spans="1:23" ht="15" customHeight="1">
      <c r="C419" s="3">
        <v>10</v>
      </c>
      <c r="D419" s="15" t="s">
        <v>334</v>
      </c>
      <c r="E419" s="312" t="s">
        <v>244</v>
      </c>
      <c r="G419" s="26">
        <v>0</v>
      </c>
      <c r="H419" s="26">
        <v>0</v>
      </c>
      <c r="I419" s="26">
        <v>0</v>
      </c>
      <c r="J419" s="26">
        <v>0</v>
      </c>
      <c r="K419" s="26">
        <v>0</v>
      </c>
      <c r="L419" s="26">
        <v>0</v>
      </c>
      <c r="M419" s="26">
        <v>0</v>
      </c>
      <c r="N419" s="26">
        <v>0</v>
      </c>
      <c r="O419" s="285"/>
      <c r="P419" s="202">
        <v>404</v>
      </c>
      <c r="Q419" s="210">
        <v>10</v>
      </c>
      <c r="R419" s="205" t="s">
        <v>355</v>
      </c>
      <c r="S419" s="206" t="s">
        <v>123</v>
      </c>
      <c r="T419" s="211">
        <v>0</v>
      </c>
      <c r="U419" s="211">
        <v>0</v>
      </c>
      <c r="V419" s="213">
        <v>0</v>
      </c>
      <c r="W419" s="213">
        <v>0</v>
      </c>
    </row>
    <row r="420" spans="1:23" ht="15" customHeight="1">
      <c r="G420" s="26"/>
      <c r="H420" s="26"/>
      <c r="I420" s="26"/>
      <c r="J420" s="26"/>
      <c r="K420" s="26"/>
      <c r="L420" s="26"/>
      <c r="M420" s="26"/>
      <c r="N420" s="26"/>
      <c r="O420" s="293"/>
      <c r="P420" s="202">
        <v>405</v>
      </c>
      <c r="Q420" s="210">
        <v>10</v>
      </c>
      <c r="R420" s="205" t="s">
        <v>356</v>
      </c>
      <c r="S420" s="206" t="s">
        <v>125</v>
      </c>
      <c r="T420" s="211">
        <v>0</v>
      </c>
      <c r="U420" s="211">
        <v>0</v>
      </c>
      <c r="V420" s="213">
        <v>0</v>
      </c>
      <c r="W420" s="213">
        <v>0</v>
      </c>
    </row>
    <row r="421" spans="1:23" s="23" customFormat="1" ht="15" customHeight="1">
      <c r="A421" s="2" t="s">
        <v>163</v>
      </c>
      <c r="B421" s="2" t="s">
        <v>2317</v>
      </c>
      <c r="C421" s="3"/>
      <c r="D421" s="323" t="s">
        <v>2040</v>
      </c>
      <c r="E421" s="323"/>
      <c r="F421" s="324"/>
      <c r="G421" s="325">
        <f>SUM(G412:G420)</f>
        <v>0</v>
      </c>
      <c r="H421" s="325">
        <f t="shared" ref="H421:N421" si="49">SUM(H412:H420)</f>
        <v>0</v>
      </c>
      <c r="I421" s="325">
        <f t="shared" si="49"/>
        <v>0</v>
      </c>
      <c r="J421" s="325">
        <f t="shared" si="49"/>
        <v>0</v>
      </c>
      <c r="K421" s="325">
        <f t="shared" si="49"/>
        <v>0</v>
      </c>
      <c r="L421" s="325">
        <f t="shared" si="49"/>
        <v>0</v>
      </c>
      <c r="M421" s="325">
        <f t="shared" si="49"/>
        <v>0</v>
      </c>
      <c r="N421" s="325">
        <f t="shared" si="49"/>
        <v>0</v>
      </c>
      <c r="O421" s="291"/>
      <c r="P421" s="202">
        <v>406</v>
      </c>
      <c r="Q421" s="210">
        <v>10</v>
      </c>
      <c r="R421" s="205" t="s">
        <v>357</v>
      </c>
      <c r="S421" s="206" t="s">
        <v>106</v>
      </c>
      <c r="T421" s="211">
        <v>440</v>
      </c>
      <c r="U421" s="211">
        <v>0</v>
      </c>
      <c r="V421" s="213">
        <v>133.28</v>
      </c>
      <c r="W421" s="213">
        <v>30.29</v>
      </c>
    </row>
    <row r="422" spans="1:23" s="46" customFormat="1" ht="15" customHeight="1">
      <c r="A422" s="2"/>
      <c r="B422" s="2"/>
      <c r="C422" s="3"/>
      <c r="D422" s="47"/>
      <c r="E422" s="47"/>
      <c r="F422" s="191"/>
      <c r="G422" s="48"/>
      <c r="H422" s="48"/>
      <c r="I422" s="48"/>
      <c r="J422" s="48"/>
      <c r="K422" s="48"/>
      <c r="L422" s="48"/>
      <c r="M422" s="48"/>
      <c r="N422" s="48"/>
      <c r="O422" s="289"/>
      <c r="P422" s="202">
        <v>407</v>
      </c>
      <c r="Q422" s="210">
        <v>10</v>
      </c>
      <c r="R422" s="205" t="s">
        <v>358</v>
      </c>
      <c r="S422" s="206" t="s">
        <v>197</v>
      </c>
      <c r="T422" s="211">
        <v>0</v>
      </c>
      <c r="U422" s="211">
        <v>0</v>
      </c>
      <c r="V422" s="213">
        <v>0</v>
      </c>
      <c r="W422" s="213">
        <v>0</v>
      </c>
    </row>
    <row r="423" spans="1:23" ht="15" customHeight="1">
      <c r="D423" s="47" t="s">
        <v>2041</v>
      </c>
      <c r="G423" s="26"/>
      <c r="H423" s="26"/>
      <c r="I423" s="26"/>
      <c r="J423" s="26"/>
      <c r="K423" s="26"/>
      <c r="L423" s="26"/>
      <c r="M423" s="26"/>
      <c r="N423" s="26"/>
      <c r="P423" s="202">
        <v>408</v>
      </c>
      <c r="Q423" s="210">
        <v>10</v>
      </c>
      <c r="R423" s="205" t="s">
        <v>359</v>
      </c>
      <c r="S423" s="206" t="s">
        <v>200</v>
      </c>
      <c r="T423" s="211">
        <v>0</v>
      </c>
      <c r="U423" s="211">
        <v>0</v>
      </c>
      <c r="V423" s="213">
        <v>0</v>
      </c>
      <c r="W423" s="213">
        <v>0</v>
      </c>
    </row>
    <row r="424" spans="1:23" ht="15" customHeight="1">
      <c r="G424" s="26"/>
      <c r="H424" s="26"/>
      <c r="I424" s="26"/>
      <c r="J424" s="26"/>
      <c r="K424" s="26"/>
      <c r="L424" s="26"/>
      <c r="M424" s="26"/>
      <c r="N424" s="26"/>
      <c r="P424" s="202">
        <v>409</v>
      </c>
      <c r="Q424" s="210">
        <v>10</v>
      </c>
      <c r="R424" s="205" t="s">
        <v>360</v>
      </c>
      <c r="S424" s="206" t="s">
        <v>130</v>
      </c>
      <c r="T424" s="211">
        <v>1518</v>
      </c>
      <c r="U424" s="211">
        <v>0</v>
      </c>
      <c r="V424" s="213">
        <v>34.85</v>
      </c>
      <c r="W424" s="213">
        <v>2.2999999999999998</v>
      </c>
    </row>
    <row r="425" spans="1:23" ht="15" customHeight="1">
      <c r="C425" s="3">
        <v>10</v>
      </c>
      <c r="D425" s="15" t="s">
        <v>335</v>
      </c>
      <c r="E425" s="312" t="s">
        <v>329</v>
      </c>
      <c r="G425" s="26">
        <v>0</v>
      </c>
      <c r="H425" s="26">
        <v>0</v>
      </c>
      <c r="I425" s="26">
        <v>0</v>
      </c>
      <c r="J425" s="26">
        <v>0</v>
      </c>
      <c r="K425" s="26">
        <v>0</v>
      </c>
      <c r="L425" s="26">
        <v>0</v>
      </c>
      <c r="M425" s="26">
        <v>0</v>
      </c>
      <c r="N425" s="26">
        <v>0</v>
      </c>
      <c r="O425" s="285"/>
      <c r="P425" s="202">
        <v>410</v>
      </c>
      <c r="Q425" s="210">
        <v>10</v>
      </c>
      <c r="R425" s="205" t="s">
        <v>361</v>
      </c>
      <c r="S425" s="206" t="s">
        <v>132</v>
      </c>
      <c r="T425" s="211">
        <v>0</v>
      </c>
      <c r="U425" s="211">
        <v>0</v>
      </c>
      <c r="V425" s="213">
        <v>0</v>
      </c>
      <c r="W425" s="213">
        <v>0</v>
      </c>
    </row>
    <row r="426" spans="1:23" ht="15" customHeight="1">
      <c r="C426" s="3">
        <v>10</v>
      </c>
      <c r="D426" s="15" t="s">
        <v>336</v>
      </c>
      <c r="E426" s="312" t="s">
        <v>165</v>
      </c>
      <c r="G426" s="26">
        <v>0</v>
      </c>
      <c r="H426" s="26">
        <v>0</v>
      </c>
      <c r="I426" s="26">
        <v>0</v>
      </c>
      <c r="J426" s="26">
        <v>0</v>
      </c>
      <c r="K426" s="26">
        <v>0</v>
      </c>
      <c r="L426" s="26">
        <v>0</v>
      </c>
      <c r="M426" s="26">
        <v>0</v>
      </c>
      <c r="N426" s="26">
        <v>0</v>
      </c>
      <c r="O426" s="285"/>
      <c r="P426" s="202">
        <v>411</v>
      </c>
      <c r="Q426" s="210">
        <v>10</v>
      </c>
      <c r="R426" s="205" t="s">
        <v>362</v>
      </c>
      <c r="S426" s="206" t="s">
        <v>208</v>
      </c>
      <c r="T426" s="211">
        <v>2500</v>
      </c>
      <c r="U426" s="211">
        <v>0</v>
      </c>
      <c r="V426" s="213">
        <v>0</v>
      </c>
      <c r="W426" s="213">
        <v>0</v>
      </c>
    </row>
    <row r="427" spans="1:23" ht="15" customHeight="1">
      <c r="C427" s="3">
        <v>10</v>
      </c>
      <c r="D427" s="15" t="s">
        <v>337</v>
      </c>
      <c r="E427" s="312" t="s">
        <v>167</v>
      </c>
      <c r="G427" s="26">
        <v>0</v>
      </c>
      <c r="H427" s="26">
        <v>0</v>
      </c>
      <c r="I427" s="26">
        <v>0</v>
      </c>
      <c r="J427" s="26">
        <v>0</v>
      </c>
      <c r="K427" s="26">
        <v>0</v>
      </c>
      <c r="L427" s="26">
        <v>0</v>
      </c>
      <c r="M427" s="26">
        <v>0</v>
      </c>
      <c r="N427" s="26">
        <v>0</v>
      </c>
      <c r="O427" s="285"/>
      <c r="P427" s="202">
        <v>412</v>
      </c>
      <c r="Q427" s="210">
        <v>10</v>
      </c>
      <c r="R427" s="205" t="s">
        <v>363</v>
      </c>
      <c r="S427" s="206" t="s">
        <v>210</v>
      </c>
      <c r="T427" s="211">
        <v>0</v>
      </c>
      <c r="U427" s="211">
        <v>0</v>
      </c>
      <c r="V427" s="213">
        <v>0</v>
      </c>
      <c r="W427" s="213">
        <v>0</v>
      </c>
    </row>
    <row r="428" spans="1:23" ht="15" customHeight="1">
      <c r="C428" s="3">
        <v>10</v>
      </c>
      <c r="D428" s="15" t="s">
        <v>338</v>
      </c>
      <c r="E428" s="312" t="s">
        <v>247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85"/>
      <c r="P428" s="202">
        <v>413</v>
      </c>
      <c r="Q428" s="210">
        <v>10</v>
      </c>
      <c r="R428" s="205" t="s">
        <v>364</v>
      </c>
      <c r="S428" s="206" t="s">
        <v>213</v>
      </c>
      <c r="T428" s="211">
        <v>0</v>
      </c>
      <c r="U428" s="211">
        <v>0</v>
      </c>
      <c r="V428" s="213">
        <v>0</v>
      </c>
      <c r="W428" s="213">
        <v>0</v>
      </c>
    </row>
    <row r="429" spans="1:23" ht="15" customHeight="1">
      <c r="G429" s="26"/>
      <c r="H429" s="26"/>
      <c r="I429" s="26"/>
      <c r="J429" s="26"/>
      <c r="K429" s="26"/>
      <c r="L429" s="26"/>
      <c r="M429" s="26"/>
      <c r="N429" s="26"/>
      <c r="P429" s="202">
        <v>414</v>
      </c>
      <c r="Q429" s="210">
        <v>10</v>
      </c>
      <c r="R429" s="205" t="s">
        <v>2623</v>
      </c>
      <c r="S429" s="206"/>
      <c r="T429" s="211"/>
      <c r="U429" s="211"/>
      <c r="V429" s="213"/>
      <c r="W429" s="213"/>
    </row>
    <row r="430" spans="1:23" s="24" customFormat="1" ht="15" customHeight="1">
      <c r="A430" s="2" t="s">
        <v>245</v>
      </c>
      <c r="B430" s="2" t="s">
        <v>2317</v>
      </c>
      <c r="C430" s="3"/>
      <c r="D430" s="323" t="s">
        <v>2042</v>
      </c>
      <c r="E430" s="323"/>
      <c r="F430" s="324"/>
      <c r="G430" s="325">
        <f>SUM(G423:G429)</f>
        <v>0</v>
      </c>
      <c r="H430" s="325">
        <f t="shared" ref="H430:N430" si="50">SUM(H423:H429)</f>
        <v>0</v>
      </c>
      <c r="I430" s="325">
        <f t="shared" si="50"/>
        <v>0</v>
      </c>
      <c r="J430" s="325">
        <f t="shared" si="50"/>
        <v>0</v>
      </c>
      <c r="K430" s="325">
        <f t="shared" si="50"/>
        <v>0</v>
      </c>
      <c r="L430" s="325">
        <f t="shared" si="50"/>
        <v>0</v>
      </c>
      <c r="M430" s="325">
        <f t="shared" si="50"/>
        <v>0</v>
      </c>
      <c r="N430" s="325">
        <f t="shared" si="50"/>
        <v>0</v>
      </c>
      <c r="O430" s="292"/>
      <c r="P430" s="202">
        <v>415</v>
      </c>
      <c r="Q430" s="210">
        <v>10</v>
      </c>
      <c r="R430" s="205" t="s">
        <v>104</v>
      </c>
      <c r="S430" s="206"/>
      <c r="T430" s="211">
        <v>4458</v>
      </c>
      <c r="U430" s="211">
        <v>0</v>
      </c>
      <c r="V430" s="213">
        <v>168.13</v>
      </c>
      <c r="W430" s="213">
        <v>0</v>
      </c>
    </row>
    <row r="431" spans="1:23" ht="15" customHeight="1">
      <c r="G431" s="26"/>
      <c r="H431" s="26"/>
      <c r="I431" s="26"/>
      <c r="J431" s="26"/>
      <c r="K431" s="26"/>
      <c r="L431" s="26"/>
      <c r="M431" s="26"/>
      <c r="N431" s="26"/>
      <c r="P431" s="202">
        <v>416</v>
      </c>
      <c r="Q431" s="210">
        <v>10</v>
      </c>
      <c r="R431" s="205" t="s">
        <v>135</v>
      </c>
      <c r="S431" s="206"/>
      <c r="T431" s="211"/>
      <c r="U431" s="211"/>
      <c r="V431" s="213"/>
      <c r="W431" s="213"/>
    </row>
    <row r="432" spans="1:23" s="43" customFormat="1" ht="15" customHeight="1" thickBot="1">
      <c r="A432" s="2"/>
      <c r="B432" s="2" t="s">
        <v>2317</v>
      </c>
      <c r="C432" s="3"/>
      <c r="D432" s="68" t="s">
        <v>1982</v>
      </c>
      <c r="E432" s="326"/>
      <c r="F432" s="327"/>
      <c r="G432" s="328">
        <f>+G430+G421+G410+G396+G383</f>
        <v>42827</v>
      </c>
      <c r="H432" s="328">
        <f t="shared" ref="H432:N432" si="51">+H430+H421+H410+H396+H383</f>
        <v>23800</v>
      </c>
      <c r="I432" s="328">
        <f t="shared" si="51"/>
        <v>41195</v>
      </c>
      <c r="J432" s="328">
        <f t="shared" si="51"/>
        <v>47291</v>
      </c>
      <c r="K432" s="328">
        <f t="shared" si="51"/>
        <v>42100</v>
      </c>
      <c r="L432" s="328">
        <f t="shared" si="51"/>
        <v>20228</v>
      </c>
      <c r="M432" s="328">
        <f t="shared" si="51"/>
        <v>38000</v>
      </c>
      <c r="N432" s="328">
        <f t="shared" si="51"/>
        <v>42100</v>
      </c>
      <c r="O432" s="288"/>
      <c r="P432" s="202">
        <v>417</v>
      </c>
      <c r="Q432" s="210">
        <v>10</v>
      </c>
      <c r="R432" s="205" t="s">
        <v>2626</v>
      </c>
      <c r="S432" s="206"/>
      <c r="T432" s="211"/>
      <c r="U432" s="211"/>
      <c r="V432" s="213"/>
      <c r="W432" s="213"/>
    </row>
    <row r="433" spans="1:23" s="45" customFormat="1" ht="15" customHeight="1" thickTop="1">
      <c r="A433" s="2"/>
      <c r="B433" s="2"/>
      <c r="C433" s="3"/>
      <c r="D433" s="47"/>
      <c r="E433" s="15"/>
      <c r="F433" s="105"/>
      <c r="G433" s="26"/>
      <c r="H433" s="26"/>
      <c r="I433" s="26"/>
      <c r="J433" s="26"/>
      <c r="K433" s="26"/>
      <c r="L433" s="26"/>
      <c r="M433" s="26"/>
      <c r="N433" s="26"/>
      <c r="O433" s="275"/>
      <c r="P433" s="202">
        <v>418</v>
      </c>
      <c r="Q433" s="210">
        <v>10</v>
      </c>
      <c r="R433" s="205" t="s">
        <v>365</v>
      </c>
      <c r="S433" s="206" t="s">
        <v>137</v>
      </c>
      <c r="T433" s="211">
        <v>0</v>
      </c>
      <c r="U433" s="211">
        <v>0</v>
      </c>
      <c r="V433" s="213">
        <v>0</v>
      </c>
      <c r="W433" s="213">
        <v>0</v>
      </c>
    </row>
    <row r="434" spans="1:23" s="45" customFormat="1" ht="15" customHeight="1">
      <c r="A434" s="2"/>
      <c r="B434" s="2"/>
      <c r="C434" s="3"/>
      <c r="D434" s="47" t="s">
        <v>5</v>
      </c>
      <c r="E434" s="15"/>
      <c r="F434" s="105"/>
      <c r="G434" s="26"/>
      <c r="H434" s="26"/>
      <c r="I434" s="26"/>
      <c r="J434" s="26"/>
      <c r="K434" s="26"/>
      <c r="L434" s="26"/>
      <c r="M434" s="26"/>
      <c r="N434" s="26"/>
      <c r="O434" s="275"/>
      <c r="P434" s="202">
        <v>419</v>
      </c>
      <c r="Q434" s="210">
        <v>10</v>
      </c>
      <c r="R434" s="205" t="s">
        <v>366</v>
      </c>
      <c r="S434" s="206" t="s">
        <v>216</v>
      </c>
      <c r="T434" s="211">
        <v>0</v>
      </c>
      <c r="U434" s="211">
        <v>0</v>
      </c>
      <c r="V434" s="213">
        <v>0</v>
      </c>
      <c r="W434" s="213">
        <v>0</v>
      </c>
    </row>
    <row r="435" spans="1:23" s="45" customFormat="1" ht="15" customHeight="1">
      <c r="A435" s="2"/>
      <c r="B435" s="2"/>
      <c r="C435" s="3"/>
      <c r="D435" s="47"/>
      <c r="E435" s="15"/>
      <c r="F435" s="105"/>
      <c r="G435" s="26"/>
      <c r="H435" s="26"/>
      <c r="I435" s="26"/>
      <c r="J435" s="26"/>
      <c r="K435" s="26"/>
      <c r="L435" s="26"/>
      <c r="M435" s="26"/>
      <c r="N435" s="26"/>
      <c r="O435" s="275"/>
      <c r="P435" s="202">
        <v>420</v>
      </c>
      <c r="Q435" s="210">
        <v>10</v>
      </c>
      <c r="R435" s="205" t="s">
        <v>367</v>
      </c>
      <c r="S435" s="206" t="s">
        <v>139</v>
      </c>
      <c r="T435" s="211">
        <v>500</v>
      </c>
      <c r="U435" s="211">
        <v>30</v>
      </c>
      <c r="V435" s="213">
        <v>240</v>
      </c>
      <c r="W435" s="213">
        <v>48</v>
      </c>
    </row>
    <row r="436" spans="1:23" s="5" customFormat="1" ht="15" customHeight="1">
      <c r="A436" s="2"/>
      <c r="B436" s="2"/>
      <c r="C436" s="3"/>
      <c r="D436" s="47" t="s">
        <v>2043</v>
      </c>
      <c r="E436" s="15"/>
      <c r="F436" s="105"/>
      <c r="G436" s="26"/>
      <c r="H436" s="26"/>
      <c r="I436" s="26"/>
      <c r="J436" s="26"/>
      <c r="K436" s="26"/>
      <c r="L436" s="26"/>
      <c r="M436" s="26"/>
      <c r="N436" s="26"/>
      <c r="O436" s="282"/>
      <c r="P436" s="202">
        <v>421</v>
      </c>
      <c r="Q436" s="210">
        <v>10</v>
      </c>
      <c r="R436" s="205" t="s">
        <v>368</v>
      </c>
      <c r="S436" s="206" t="s">
        <v>145</v>
      </c>
      <c r="T436" s="211">
        <v>0</v>
      </c>
      <c r="U436" s="211">
        <v>0</v>
      </c>
      <c r="V436" s="213">
        <v>0</v>
      </c>
      <c r="W436" s="213">
        <v>0</v>
      </c>
    </row>
    <row r="437" spans="1:23" ht="15" customHeight="1">
      <c r="G437" s="26"/>
      <c r="H437" s="26"/>
      <c r="I437" s="26"/>
      <c r="J437" s="26"/>
      <c r="K437" s="26"/>
      <c r="L437" s="26"/>
      <c r="M437" s="26"/>
      <c r="N437" s="26"/>
      <c r="P437" s="202">
        <v>422</v>
      </c>
      <c r="Q437" s="210">
        <v>10</v>
      </c>
      <c r="R437" s="205" t="s">
        <v>369</v>
      </c>
      <c r="S437" s="206" t="s">
        <v>147</v>
      </c>
      <c r="T437" s="211">
        <v>0</v>
      </c>
      <c r="U437" s="211">
        <v>0</v>
      </c>
      <c r="V437" s="213">
        <v>0</v>
      </c>
      <c r="W437" s="213">
        <v>0</v>
      </c>
    </row>
    <row r="438" spans="1:23" ht="15" customHeight="1">
      <c r="C438" s="3">
        <v>10</v>
      </c>
      <c r="D438" s="15" t="s">
        <v>339</v>
      </c>
      <c r="E438" s="312" t="s">
        <v>79</v>
      </c>
      <c r="G438" s="26">
        <v>0</v>
      </c>
      <c r="H438" s="26">
        <v>0</v>
      </c>
      <c r="I438" s="26">
        <v>0</v>
      </c>
      <c r="J438" s="26">
        <v>0</v>
      </c>
      <c r="K438" s="26">
        <v>0</v>
      </c>
      <c r="L438" s="26">
        <v>0</v>
      </c>
      <c r="M438" s="26">
        <v>0</v>
      </c>
      <c r="N438" s="26">
        <v>0</v>
      </c>
      <c r="P438" s="202">
        <v>423</v>
      </c>
      <c r="Q438" s="210">
        <v>10</v>
      </c>
      <c r="R438" s="205" t="s">
        <v>370</v>
      </c>
      <c r="S438" s="206" t="s">
        <v>151</v>
      </c>
      <c r="T438" s="211">
        <v>0</v>
      </c>
      <c r="U438" s="211">
        <v>0</v>
      </c>
      <c r="V438" s="213">
        <v>125</v>
      </c>
      <c r="W438" s="213">
        <v>0</v>
      </c>
    </row>
    <row r="439" spans="1:23" ht="15" customHeight="1">
      <c r="C439" s="3">
        <v>10</v>
      </c>
      <c r="D439" s="15" t="s">
        <v>340</v>
      </c>
      <c r="E439" s="312" t="s">
        <v>81</v>
      </c>
      <c r="G439" s="26">
        <v>356</v>
      </c>
      <c r="H439" s="26">
        <v>192</v>
      </c>
      <c r="I439" s="26">
        <v>174</v>
      </c>
      <c r="J439" s="26">
        <v>9</v>
      </c>
      <c r="K439" s="26">
        <v>0</v>
      </c>
      <c r="L439" s="26">
        <v>3</v>
      </c>
      <c r="M439" s="26">
        <v>0</v>
      </c>
      <c r="N439" s="26">
        <v>0</v>
      </c>
      <c r="P439" s="202">
        <v>424</v>
      </c>
      <c r="Q439" s="210">
        <v>10</v>
      </c>
      <c r="R439" s="205" t="s">
        <v>371</v>
      </c>
      <c r="S439" s="206" t="s">
        <v>153</v>
      </c>
      <c r="T439" s="211">
        <v>600</v>
      </c>
      <c r="U439" s="211">
        <v>73.44</v>
      </c>
      <c r="V439" s="213">
        <v>114.99</v>
      </c>
      <c r="W439" s="213">
        <v>19.170000000000002</v>
      </c>
    </row>
    <row r="440" spans="1:23" ht="15" customHeight="1">
      <c r="C440" s="3">
        <v>10</v>
      </c>
      <c r="D440" s="15" t="s">
        <v>341</v>
      </c>
      <c r="E440" s="312" t="s">
        <v>83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P440" s="202">
        <v>425</v>
      </c>
      <c r="Q440" s="210">
        <v>10</v>
      </c>
      <c r="R440" s="205" t="s">
        <v>372</v>
      </c>
      <c r="S440" s="206" t="s">
        <v>159</v>
      </c>
      <c r="T440" s="211">
        <v>0</v>
      </c>
      <c r="U440" s="211">
        <v>0</v>
      </c>
      <c r="V440" s="213">
        <v>0</v>
      </c>
      <c r="W440" s="213">
        <v>0</v>
      </c>
    </row>
    <row r="441" spans="1:23" ht="15" customHeight="1">
      <c r="C441" s="3">
        <v>10</v>
      </c>
      <c r="D441" s="15" t="s">
        <v>342</v>
      </c>
      <c r="E441" s="312" t="s">
        <v>85</v>
      </c>
      <c r="G441" s="26">
        <v>5</v>
      </c>
      <c r="H441" s="26">
        <v>0</v>
      </c>
      <c r="I441" s="26">
        <v>0</v>
      </c>
      <c r="J441" s="26">
        <v>0</v>
      </c>
      <c r="K441" s="26">
        <v>0</v>
      </c>
      <c r="L441" s="26">
        <v>0</v>
      </c>
      <c r="M441" s="26">
        <v>0</v>
      </c>
      <c r="N441" s="26">
        <v>0</v>
      </c>
      <c r="P441" s="202">
        <v>426</v>
      </c>
      <c r="Q441" s="210">
        <v>10</v>
      </c>
      <c r="R441" s="205" t="s">
        <v>373</v>
      </c>
      <c r="S441" s="206" t="s">
        <v>229</v>
      </c>
      <c r="T441" s="211">
        <v>0</v>
      </c>
      <c r="U441" s="211">
        <v>0</v>
      </c>
      <c r="V441" s="213">
        <v>0</v>
      </c>
      <c r="W441" s="213">
        <v>0</v>
      </c>
    </row>
    <row r="442" spans="1:23" ht="15" customHeight="1">
      <c r="C442" s="3">
        <v>10</v>
      </c>
      <c r="D442" s="15" t="s">
        <v>343</v>
      </c>
      <c r="E442" s="312" t="s">
        <v>87</v>
      </c>
      <c r="G442" s="26">
        <v>198</v>
      </c>
      <c r="H442" s="26">
        <v>60</v>
      </c>
      <c r="I442" s="26">
        <v>61</v>
      </c>
      <c r="J442" s="26">
        <v>3</v>
      </c>
      <c r="K442" s="26">
        <v>117</v>
      </c>
      <c r="L442" s="26">
        <v>1</v>
      </c>
      <c r="M442" s="26">
        <v>117</v>
      </c>
      <c r="N442" s="26">
        <v>117</v>
      </c>
      <c r="P442" s="202">
        <v>427</v>
      </c>
      <c r="Q442" s="210">
        <v>10</v>
      </c>
      <c r="R442" s="205" t="s">
        <v>374</v>
      </c>
      <c r="S442" s="206" t="s">
        <v>162</v>
      </c>
      <c r="T442" s="211">
        <v>0</v>
      </c>
      <c r="U442" s="211">
        <v>0</v>
      </c>
      <c r="V442" s="213">
        <v>0</v>
      </c>
      <c r="W442" s="213">
        <v>0</v>
      </c>
    </row>
    <row r="443" spans="1:23" ht="15" customHeight="1">
      <c r="C443" s="3">
        <v>10</v>
      </c>
      <c r="D443" s="15" t="s">
        <v>344</v>
      </c>
      <c r="E443" s="312" t="s">
        <v>89</v>
      </c>
      <c r="G443" s="26">
        <v>234</v>
      </c>
      <c r="H443" s="26">
        <v>119</v>
      </c>
      <c r="I443" s="26">
        <v>130</v>
      </c>
      <c r="J443" s="26">
        <v>6</v>
      </c>
      <c r="K443" s="26">
        <v>0</v>
      </c>
      <c r="L443" s="26">
        <v>2</v>
      </c>
      <c r="M443" s="26">
        <v>0</v>
      </c>
      <c r="N443" s="26">
        <v>0</v>
      </c>
      <c r="P443" s="202">
        <v>428</v>
      </c>
      <c r="Q443" s="210">
        <v>10</v>
      </c>
      <c r="R443" s="205" t="s">
        <v>2623</v>
      </c>
      <c r="S443" s="206"/>
      <c r="T443" s="211"/>
      <c r="U443" s="211"/>
      <c r="V443" s="213"/>
      <c r="W443" s="213"/>
    </row>
    <row r="444" spans="1:23" ht="15" customHeight="1">
      <c r="C444" s="3">
        <v>10</v>
      </c>
      <c r="D444" s="15" t="s">
        <v>345</v>
      </c>
      <c r="E444" s="312" t="s">
        <v>91</v>
      </c>
      <c r="G444" s="26">
        <v>251</v>
      </c>
      <c r="H444" s="26">
        <v>0</v>
      </c>
      <c r="I444" s="26">
        <v>0</v>
      </c>
      <c r="J444" s="26">
        <v>0</v>
      </c>
      <c r="K444" s="26">
        <v>1000</v>
      </c>
      <c r="L444" s="26">
        <v>0</v>
      </c>
      <c r="M444" s="26">
        <v>1000</v>
      </c>
      <c r="N444" s="26">
        <v>1000</v>
      </c>
      <c r="P444" s="202">
        <v>429</v>
      </c>
      <c r="Q444" s="210">
        <v>10</v>
      </c>
      <c r="R444" s="205" t="s">
        <v>135</v>
      </c>
      <c r="S444" s="206"/>
      <c r="T444" s="211">
        <v>1100</v>
      </c>
      <c r="U444" s="211">
        <v>103.44</v>
      </c>
      <c r="V444" s="213">
        <v>479.99</v>
      </c>
      <c r="W444" s="213">
        <v>0</v>
      </c>
    </row>
    <row r="445" spans="1:23" ht="15" customHeight="1">
      <c r="C445" s="3">
        <v>10</v>
      </c>
      <c r="D445" s="15" t="s">
        <v>346</v>
      </c>
      <c r="E445" s="312" t="s">
        <v>93</v>
      </c>
      <c r="G445" s="26">
        <v>2395</v>
      </c>
      <c r="H445" s="26">
        <v>822</v>
      </c>
      <c r="I445" s="26">
        <v>852</v>
      </c>
      <c r="J445" s="26">
        <v>38</v>
      </c>
      <c r="K445" s="26">
        <v>0</v>
      </c>
      <c r="L445" s="26">
        <v>0</v>
      </c>
      <c r="M445" s="26">
        <v>0</v>
      </c>
      <c r="N445" s="26">
        <v>0</v>
      </c>
      <c r="P445" s="202">
        <v>430</v>
      </c>
      <c r="Q445" s="210">
        <v>10</v>
      </c>
      <c r="R445" s="205" t="s">
        <v>163</v>
      </c>
      <c r="S445" s="206"/>
      <c r="T445" s="211"/>
      <c r="U445" s="211"/>
      <c r="V445" s="213"/>
      <c r="W445" s="213"/>
    </row>
    <row r="446" spans="1:23" ht="15" customHeight="1">
      <c r="C446" s="3">
        <v>10</v>
      </c>
      <c r="D446" s="15" t="s">
        <v>347</v>
      </c>
      <c r="E446" s="312" t="s">
        <v>95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P446" s="202">
        <v>431</v>
      </c>
      <c r="Q446" s="210">
        <v>10</v>
      </c>
      <c r="R446" s="205" t="s">
        <v>2627</v>
      </c>
      <c r="S446" s="206"/>
      <c r="T446" s="211"/>
      <c r="U446" s="211"/>
      <c r="V446" s="213"/>
      <c r="W446" s="213"/>
    </row>
    <row r="447" spans="1:23" ht="15" customHeight="1">
      <c r="C447" s="3">
        <v>10</v>
      </c>
      <c r="D447" s="15" t="s">
        <v>348</v>
      </c>
      <c r="E447" s="312" t="s">
        <v>97</v>
      </c>
      <c r="G447" s="26">
        <v>0</v>
      </c>
      <c r="H447" s="26">
        <v>0</v>
      </c>
      <c r="I447" s="26">
        <v>0</v>
      </c>
      <c r="J447" s="26">
        <v>0</v>
      </c>
      <c r="K447" s="26">
        <v>0</v>
      </c>
      <c r="L447" s="26">
        <v>0</v>
      </c>
      <c r="M447" s="26">
        <v>0</v>
      </c>
      <c r="N447" s="26">
        <v>0</v>
      </c>
      <c r="P447" s="202">
        <v>432</v>
      </c>
      <c r="Q447" s="210">
        <v>10</v>
      </c>
      <c r="R447" s="205" t="s">
        <v>375</v>
      </c>
      <c r="S447" s="206" t="s">
        <v>329</v>
      </c>
      <c r="T447" s="211">
        <v>0</v>
      </c>
      <c r="U447" s="211">
        <v>0</v>
      </c>
      <c r="V447" s="213">
        <v>0</v>
      </c>
      <c r="W447" s="213">
        <v>0</v>
      </c>
    </row>
    <row r="448" spans="1:23" ht="15" customHeight="1">
      <c r="C448" s="3">
        <v>10</v>
      </c>
      <c r="D448" s="15" t="s">
        <v>349</v>
      </c>
      <c r="E448" s="312" t="s">
        <v>99</v>
      </c>
      <c r="G448" s="26">
        <v>0</v>
      </c>
      <c r="H448" s="26">
        <v>0</v>
      </c>
      <c r="I448" s="26">
        <v>0</v>
      </c>
      <c r="J448" s="26">
        <v>0</v>
      </c>
      <c r="K448" s="26">
        <v>0</v>
      </c>
      <c r="L448" s="26">
        <v>0</v>
      </c>
      <c r="M448" s="26">
        <v>0</v>
      </c>
      <c r="N448" s="26">
        <v>0</v>
      </c>
      <c r="P448" s="202">
        <v>433</v>
      </c>
      <c r="Q448" s="210">
        <v>10</v>
      </c>
      <c r="R448" s="205" t="s">
        <v>376</v>
      </c>
      <c r="S448" s="206" t="s">
        <v>171</v>
      </c>
      <c r="T448" s="211">
        <v>120</v>
      </c>
      <c r="U448" s="211">
        <v>84.94</v>
      </c>
      <c r="V448" s="213">
        <v>194.71</v>
      </c>
      <c r="W448" s="213">
        <v>162.26</v>
      </c>
    </row>
    <row r="449" spans="1:23" ht="15" customHeight="1">
      <c r="C449" s="3">
        <v>10</v>
      </c>
      <c r="D449" s="15" t="s">
        <v>350</v>
      </c>
      <c r="E449" s="312" t="s">
        <v>101</v>
      </c>
      <c r="G449" s="26">
        <v>0</v>
      </c>
      <c r="H449" s="26">
        <v>0</v>
      </c>
      <c r="I449" s="26">
        <v>0</v>
      </c>
      <c r="J449" s="26">
        <v>0</v>
      </c>
      <c r="K449" s="26">
        <v>0</v>
      </c>
      <c r="L449" s="26">
        <v>0</v>
      </c>
      <c r="M449" s="26">
        <v>0</v>
      </c>
      <c r="N449" s="26">
        <v>0</v>
      </c>
      <c r="P449" s="202">
        <v>434</v>
      </c>
      <c r="Q449" s="210">
        <v>10</v>
      </c>
      <c r="R449" s="205" t="s">
        <v>377</v>
      </c>
      <c r="S449" s="206" t="s">
        <v>173</v>
      </c>
      <c r="T449" s="211">
        <v>0</v>
      </c>
      <c r="U449" s="211">
        <v>0</v>
      </c>
      <c r="V449" s="213">
        <v>37.93</v>
      </c>
      <c r="W449" s="213">
        <v>0</v>
      </c>
    </row>
    <row r="450" spans="1:23" ht="15" customHeight="1">
      <c r="C450" s="3">
        <v>10</v>
      </c>
      <c r="D450" s="15" t="s">
        <v>351</v>
      </c>
      <c r="E450" s="312" t="s">
        <v>103</v>
      </c>
      <c r="G450" s="26">
        <v>0</v>
      </c>
      <c r="H450" s="26">
        <v>0</v>
      </c>
      <c r="I450" s="26">
        <v>0</v>
      </c>
      <c r="J450" s="26">
        <v>0</v>
      </c>
      <c r="K450" s="26">
        <v>0</v>
      </c>
      <c r="L450" s="26">
        <v>0</v>
      </c>
      <c r="M450" s="26">
        <v>0</v>
      </c>
      <c r="N450" s="26">
        <v>0</v>
      </c>
      <c r="P450" s="202">
        <v>435</v>
      </c>
      <c r="Q450" s="210">
        <v>10</v>
      </c>
      <c r="R450" s="205" t="s">
        <v>2623</v>
      </c>
      <c r="S450" s="206"/>
      <c r="T450" s="211"/>
      <c r="U450" s="211"/>
      <c r="V450" s="213"/>
      <c r="W450" s="213"/>
    </row>
    <row r="451" spans="1:23" ht="15" customHeight="1">
      <c r="G451" s="26"/>
      <c r="H451" s="26"/>
      <c r="I451" s="26"/>
      <c r="J451" s="26"/>
      <c r="K451" s="26"/>
      <c r="L451" s="26"/>
      <c r="M451" s="26"/>
      <c r="N451" s="26"/>
      <c r="P451" s="202">
        <v>436</v>
      </c>
      <c r="Q451" s="210">
        <v>10</v>
      </c>
      <c r="R451" s="205" t="s">
        <v>163</v>
      </c>
      <c r="S451" s="206"/>
      <c r="T451" s="211">
        <v>120</v>
      </c>
      <c r="U451" s="211">
        <v>84.94</v>
      </c>
      <c r="V451" s="213">
        <v>232.64</v>
      </c>
      <c r="W451" s="213">
        <v>0</v>
      </c>
    </row>
    <row r="452" spans="1:23" s="72" customFormat="1" ht="15" customHeight="1">
      <c r="A452" s="5" t="s">
        <v>2410</v>
      </c>
      <c r="B452" s="5" t="s">
        <v>2317</v>
      </c>
      <c r="C452" s="3"/>
      <c r="D452" s="323" t="s">
        <v>2044</v>
      </c>
      <c r="E452" s="323"/>
      <c r="F452" s="324"/>
      <c r="G452" s="325">
        <f>SUM(G436:G451)</f>
        <v>3439</v>
      </c>
      <c r="H452" s="325">
        <f t="shared" ref="H452:N452" si="52">SUM(H436:H451)</f>
        <v>1193</v>
      </c>
      <c r="I452" s="325">
        <f t="shared" si="52"/>
        <v>1217</v>
      </c>
      <c r="J452" s="325">
        <f t="shared" si="52"/>
        <v>56</v>
      </c>
      <c r="K452" s="325">
        <f t="shared" si="52"/>
        <v>1117</v>
      </c>
      <c r="L452" s="325">
        <f t="shared" si="52"/>
        <v>6</v>
      </c>
      <c r="M452" s="325">
        <f t="shared" si="52"/>
        <v>1117</v>
      </c>
      <c r="N452" s="325">
        <f t="shared" si="52"/>
        <v>1117</v>
      </c>
      <c r="O452" s="286"/>
      <c r="P452" s="202">
        <v>437</v>
      </c>
      <c r="Q452" s="210">
        <v>10</v>
      </c>
      <c r="R452" s="205" t="s">
        <v>245</v>
      </c>
      <c r="S452" s="206"/>
      <c r="T452" s="211"/>
      <c r="U452" s="211"/>
      <c r="V452" s="213"/>
      <c r="W452" s="213"/>
    </row>
    <row r="453" spans="1:23" s="46" customFormat="1" ht="15" customHeight="1">
      <c r="A453" s="2"/>
      <c r="B453" s="2"/>
      <c r="C453" s="3"/>
      <c r="D453" s="47"/>
      <c r="E453" s="47"/>
      <c r="F453" s="191"/>
      <c r="G453" s="48"/>
      <c r="H453" s="48"/>
      <c r="I453" s="48"/>
      <c r="J453" s="48"/>
      <c r="K453" s="48"/>
      <c r="L453" s="48"/>
      <c r="M453" s="48"/>
      <c r="N453" s="48"/>
      <c r="O453" s="289"/>
      <c r="P453" s="202">
        <v>438</v>
      </c>
      <c r="Q453" s="210">
        <v>10</v>
      </c>
      <c r="R453" s="205" t="s">
        <v>2628</v>
      </c>
      <c r="S453" s="206"/>
      <c r="T453" s="211"/>
      <c r="U453" s="211"/>
      <c r="V453" s="213"/>
      <c r="W453" s="213"/>
    </row>
    <row r="454" spans="1:23" s="5" customFormat="1" ht="15" customHeight="1">
      <c r="A454" s="2"/>
      <c r="B454" s="2"/>
      <c r="C454" s="3"/>
      <c r="D454" s="47" t="s">
        <v>2045</v>
      </c>
      <c r="E454" s="15"/>
      <c r="F454" s="105"/>
      <c r="G454" s="26"/>
      <c r="H454" s="26"/>
      <c r="I454" s="26"/>
      <c r="J454" s="26"/>
      <c r="K454" s="26"/>
      <c r="L454" s="26"/>
      <c r="M454" s="26"/>
      <c r="N454" s="26"/>
      <c r="O454" s="282"/>
      <c r="P454" s="202">
        <v>439</v>
      </c>
      <c r="Q454" s="210">
        <v>10</v>
      </c>
      <c r="R454" s="205" t="s">
        <v>378</v>
      </c>
      <c r="S454" s="206" t="s">
        <v>329</v>
      </c>
      <c r="T454" s="211">
        <v>0</v>
      </c>
      <c r="U454" s="211">
        <v>0</v>
      </c>
      <c r="V454" s="213">
        <v>0</v>
      </c>
      <c r="W454" s="213">
        <v>0</v>
      </c>
    </row>
    <row r="455" spans="1:23" ht="15" customHeight="1">
      <c r="G455" s="26"/>
      <c r="H455" s="26"/>
      <c r="I455" s="26"/>
      <c r="J455" s="26"/>
      <c r="K455" s="26"/>
      <c r="L455" s="26"/>
      <c r="M455" s="26"/>
      <c r="N455" s="26"/>
      <c r="P455" s="202">
        <v>440</v>
      </c>
      <c r="Q455" s="210">
        <v>10</v>
      </c>
      <c r="R455" s="205" t="s">
        <v>379</v>
      </c>
      <c r="S455" s="206" t="s">
        <v>167</v>
      </c>
      <c r="T455" s="211">
        <v>0</v>
      </c>
      <c r="U455" s="211">
        <v>0</v>
      </c>
      <c r="V455" s="213">
        <v>0</v>
      </c>
      <c r="W455" s="213">
        <v>0</v>
      </c>
    </row>
    <row r="456" spans="1:23" ht="15" customHeight="1">
      <c r="C456" s="3">
        <v>10</v>
      </c>
      <c r="D456" s="15" t="s">
        <v>352</v>
      </c>
      <c r="E456" s="312" t="s">
        <v>115</v>
      </c>
      <c r="G456" s="26">
        <v>0</v>
      </c>
      <c r="H456" s="26">
        <v>0</v>
      </c>
      <c r="I456" s="26">
        <v>0</v>
      </c>
      <c r="J456" s="26">
        <v>0</v>
      </c>
      <c r="K456" s="26">
        <v>0</v>
      </c>
      <c r="L456" s="26">
        <v>0</v>
      </c>
      <c r="M456" s="26">
        <v>0</v>
      </c>
      <c r="N456" s="26">
        <v>0</v>
      </c>
      <c r="O456" s="285"/>
      <c r="P456" s="202">
        <v>441</v>
      </c>
      <c r="Q456" s="210">
        <v>10</v>
      </c>
      <c r="R456" s="205" t="s">
        <v>380</v>
      </c>
      <c r="S456" s="206" t="s">
        <v>247</v>
      </c>
      <c r="T456" s="211">
        <v>0</v>
      </c>
      <c r="U456" s="211">
        <v>0</v>
      </c>
      <c r="V456" s="213">
        <v>0</v>
      </c>
      <c r="W456" s="213">
        <v>0</v>
      </c>
    </row>
    <row r="457" spans="1:23" ht="15" customHeight="1">
      <c r="C457" s="3">
        <v>10</v>
      </c>
      <c r="D457" s="15" t="s">
        <v>353</v>
      </c>
      <c r="E457" s="312" t="s">
        <v>119</v>
      </c>
      <c r="G457" s="26">
        <v>0</v>
      </c>
      <c r="H457" s="26">
        <v>0</v>
      </c>
      <c r="I457" s="26">
        <v>0</v>
      </c>
      <c r="J457" s="26">
        <v>0</v>
      </c>
      <c r="K457" s="26">
        <v>0</v>
      </c>
      <c r="L457" s="26">
        <v>0</v>
      </c>
      <c r="M457" s="26">
        <v>0</v>
      </c>
      <c r="N457" s="26">
        <v>0</v>
      </c>
      <c r="O457" s="285"/>
      <c r="P457" s="202">
        <v>442</v>
      </c>
      <c r="Q457" s="210">
        <v>10</v>
      </c>
      <c r="R457" s="205" t="s">
        <v>381</v>
      </c>
      <c r="S457" s="206" t="s">
        <v>382</v>
      </c>
      <c r="T457" s="211">
        <v>0</v>
      </c>
      <c r="U457" s="211">
        <v>0</v>
      </c>
      <c r="V457" s="213">
        <v>0</v>
      </c>
      <c r="W457" s="213">
        <v>0</v>
      </c>
    </row>
    <row r="458" spans="1:23" ht="15" customHeight="1">
      <c r="C458" s="3">
        <v>10</v>
      </c>
      <c r="D458" s="15" t="s">
        <v>354</v>
      </c>
      <c r="E458" s="312" t="s">
        <v>121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85"/>
      <c r="P458" s="202">
        <v>443</v>
      </c>
      <c r="Q458" s="210">
        <v>10</v>
      </c>
      <c r="R458" s="205" t="s">
        <v>383</v>
      </c>
      <c r="S458" s="206" t="s">
        <v>173</v>
      </c>
      <c r="T458" s="211">
        <v>0</v>
      </c>
      <c r="U458" s="211">
        <v>0</v>
      </c>
      <c r="V458" s="213">
        <v>0</v>
      </c>
      <c r="W458" s="213">
        <v>0</v>
      </c>
    </row>
    <row r="459" spans="1:23" ht="15" customHeight="1">
      <c r="C459" s="3">
        <v>10</v>
      </c>
      <c r="D459" s="15" t="s">
        <v>355</v>
      </c>
      <c r="E459" s="312" t="s">
        <v>123</v>
      </c>
      <c r="G459" s="26">
        <v>0</v>
      </c>
      <c r="H459" s="26">
        <v>0</v>
      </c>
      <c r="I459" s="26">
        <v>0</v>
      </c>
      <c r="J459" s="26">
        <v>0</v>
      </c>
      <c r="K459" s="26">
        <v>0</v>
      </c>
      <c r="L459" s="26">
        <v>0</v>
      </c>
      <c r="M459" s="26">
        <v>0</v>
      </c>
      <c r="N459" s="26">
        <v>0</v>
      </c>
      <c r="O459" s="285"/>
      <c r="P459" s="202">
        <v>444</v>
      </c>
      <c r="Q459" s="210">
        <v>10</v>
      </c>
      <c r="R459" s="205" t="s">
        <v>2623</v>
      </c>
      <c r="S459" s="206"/>
      <c r="T459" s="211"/>
      <c r="U459" s="211"/>
      <c r="V459" s="213"/>
      <c r="W459" s="213"/>
    </row>
    <row r="460" spans="1:23" ht="15" customHeight="1">
      <c r="C460" s="3">
        <v>10</v>
      </c>
      <c r="D460" s="15" t="s">
        <v>356</v>
      </c>
      <c r="E460" s="312" t="s">
        <v>125</v>
      </c>
      <c r="G460" s="26">
        <v>0</v>
      </c>
      <c r="H460" s="26">
        <v>0</v>
      </c>
      <c r="I460" s="26">
        <v>0</v>
      </c>
      <c r="J460" s="26">
        <v>0</v>
      </c>
      <c r="K460" s="26">
        <v>0</v>
      </c>
      <c r="L460" s="26">
        <v>0</v>
      </c>
      <c r="M460" s="26">
        <v>0</v>
      </c>
      <c r="N460" s="26">
        <v>0</v>
      </c>
      <c r="O460" s="285"/>
      <c r="P460" s="202">
        <v>445</v>
      </c>
      <c r="Q460" s="210">
        <v>10</v>
      </c>
      <c r="R460" s="205" t="s">
        <v>245</v>
      </c>
      <c r="S460" s="206"/>
      <c r="T460" s="211">
        <v>0</v>
      </c>
      <c r="U460" s="211">
        <v>0</v>
      </c>
      <c r="V460" s="213">
        <v>0</v>
      </c>
      <c r="W460" s="213">
        <v>0</v>
      </c>
    </row>
    <row r="461" spans="1:23" ht="15" customHeight="1">
      <c r="C461" s="3">
        <v>10</v>
      </c>
      <c r="D461" s="15" t="s">
        <v>357</v>
      </c>
      <c r="E461" s="312" t="s">
        <v>106</v>
      </c>
      <c r="G461" s="26">
        <v>0</v>
      </c>
      <c r="H461" s="26">
        <v>100</v>
      </c>
      <c r="I461" s="26">
        <v>400</v>
      </c>
      <c r="J461" s="26">
        <v>102</v>
      </c>
      <c r="K461" s="26">
        <v>440</v>
      </c>
      <c r="L461" s="26">
        <v>133</v>
      </c>
      <c r="M461" s="26">
        <v>228</v>
      </c>
      <c r="N461" s="26">
        <v>500</v>
      </c>
      <c r="O461" s="285" t="s">
        <v>2691</v>
      </c>
      <c r="P461" s="202">
        <v>446</v>
      </c>
      <c r="Q461" s="210">
        <v>10</v>
      </c>
      <c r="R461" s="205" t="s">
        <v>2623</v>
      </c>
      <c r="S461" s="206"/>
      <c r="T461" s="211"/>
      <c r="U461" s="211"/>
      <c r="V461" s="213"/>
      <c r="W461" s="213"/>
    </row>
    <row r="462" spans="1:23" ht="15" customHeight="1">
      <c r="C462" s="3">
        <v>10</v>
      </c>
      <c r="D462" s="15" t="s">
        <v>358</v>
      </c>
      <c r="E462" s="312" t="s">
        <v>197</v>
      </c>
      <c r="G462" s="26">
        <v>0</v>
      </c>
      <c r="H462" s="26">
        <v>0</v>
      </c>
      <c r="I462" s="26">
        <v>0</v>
      </c>
      <c r="J462" s="26">
        <v>0</v>
      </c>
      <c r="K462" s="26">
        <v>0</v>
      </c>
      <c r="L462" s="26">
        <v>0</v>
      </c>
      <c r="M462" s="26">
        <v>0</v>
      </c>
      <c r="N462" s="26">
        <v>0</v>
      </c>
      <c r="O462" s="285"/>
      <c r="P462" s="202">
        <v>447</v>
      </c>
      <c r="Q462" s="210">
        <v>10</v>
      </c>
      <c r="R462" s="205" t="s">
        <v>5</v>
      </c>
      <c r="S462" s="206"/>
      <c r="T462" s="211">
        <v>6795</v>
      </c>
      <c r="U462" s="211">
        <v>188.38</v>
      </c>
      <c r="V462" s="213">
        <v>885.86</v>
      </c>
      <c r="W462" s="213">
        <v>13.04</v>
      </c>
    </row>
    <row r="463" spans="1:23" ht="15" customHeight="1">
      <c r="C463" s="3">
        <v>10</v>
      </c>
      <c r="D463" s="15" t="s">
        <v>359</v>
      </c>
      <c r="E463" s="312" t="s">
        <v>200</v>
      </c>
      <c r="G463" s="26">
        <v>10</v>
      </c>
      <c r="H463" s="26">
        <v>0</v>
      </c>
      <c r="I463" s="26">
        <v>0</v>
      </c>
      <c r="J463" s="26">
        <v>0</v>
      </c>
      <c r="K463" s="26">
        <v>0</v>
      </c>
      <c r="L463" s="26">
        <v>0</v>
      </c>
      <c r="M463" s="26">
        <v>0</v>
      </c>
      <c r="N463" s="26">
        <v>0</v>
      </c>
      <c r="O463" s="285"/>
      <c r="P463" s="202">
        <v>448</v>
      </c>
      <c r="Q463" s="210">
        <v>10</v>
      </c>
      <c r="R463" s="205" t="s">
        <v>2621</v>
      </c>
      <c r="S463" s="206"/>
      <c r="T463" s="211"/>
      <c r="U463" s="211"/>
      <c r="V463" s="213"/>
      <c r="W463" s="213"/>
    </row>
    <row r="464" spans="1:23" ht="15" customHeight="1">
      <c r="C464" s="3">
        <v>10</v>
      </c>
      <c r="D464" s="15" t="s">
        <v>360</v>
      </c>
      <c r="E464" s="312" t="s">
        <v>130</v>
      </c>
      <c r="G464" s="26">
        <v>1372</v>
      </c>
      <c r="H464" s="26">
        <v>0</v>
      </c>
      <c r="I464" s="26">
        <v>0</v>
      </c>
      <c r="J464" s="26">
        <v>0</v>
      </c>
      <c r="K464" s="26">
        <v>1518</v>
      </c>
      <c r="L464" s="26">
        <v>35</v>
      </c>
      <c r="M464" s="26">
        <v>60</v>
      </c>
      <c r="N464" s="26">
        <v>1518</v>
      </c>
      <c r="O464" s="285"/>
      <c r="P464" s="202">
        <v>449</v>
      </c>
      <c r="Q464" s="210">
        <v>10</v>
      </c>
      <c r="R464" s="205" t="s">
        <v>2622</v>
      </c>
      <c r="S464" s="206"/>
      <c r="T464" s="211"/>
      <c r="U464" s="211"/>
      <c r="V464" s="213"/>
      <c r="W464" s="213"/>
    </row>
    <row r="465" spans="1:23" ht="15" customHeight="1">
      <c r="C465" s="3">
        <v>10</v>
      </c>
      <c r="D465" s="15" t="s">
        <v>361</v>
      </c>
      <c r="E465" s="312" t="s">
        <v>132</v>
      </c>
      <c r="G465" s="26">
        <v>11</v>
      </c>
      <c r="H465" s="26">
        <v>0</v>
      </c>
      <c r="I465" s="26">
        <v>0</v>
      </c>
      <c r="J465" s="26">
        <v>0</v>
      </c>
      <c r="K465" s="26">
        <v>0</v>
      </c>
      <c r="L465" s="26">
        <v>0</v>
      </c>
      <c r="M465" s="26">
        <v>0</v>
      </c>
      <c r="N465" s="26">
        <v>0</v>
      </c>
      <c r="O465" s="285"/>
      <c r="P465" s="202">
        <v>450</v>
      </c>
      <c r="Q465" s="210">
        <v>10</v>
      </c>
      <c r="R465" s="205" t="s">
        <v>384</v>
      </c>
      <c r="S465" s="206" t="s">
        <v>79</v>
      </c>
      <c r="T465" s="211">
        <v>209119</v>
      </c>
      <c r="U465" s="211">
        <v>17536</v>
      </c>
      <c r="V465" s="213">
        <v>139333.19</v>
      </c>
      <c r="W465" s="213">
        <v>66.63</v>
      </c>
    </row>
    <row r="466" spans="1:23" ht="15" customHeight="1">
      <c r="C466" s="3">
        <v>10</v>
      </c>
      <c r="D466" s="15" t="s">
        <v>362</v>
      </c>
      <c r="E466" s="312" t="s">
        <v>208</v>
      </c>
      <c r="G466" s="26">
        <v>3899</v>
      </c>
      <c r="H466" s="26">
        <v>1314</v>
      </c>
      <c r="I466" s="26">
        <v>3031</v>
      </c>
      <c r="J466" s="26">
        <v>0</v>
      </c>
      <c r="K466" s="26">
        <v>2500</v>
      </c>
      <c r="L466" s="26">
        <v>0</v>
      </c>
      <c r="M466" s="26">
        <v>1500</v>
      </c>
      <c r="N466" s="26">
        <v>2500</v>
      </c>
      <c r="O466" s="285" t="s">
        <v>2907</v>
      </c>
      <c r="P466" s="202">
        <v>451</v>
      </c>
      <c r="Q466" s="210">
        <v>10</v>
      </c>
      <c r="R466" s="205" t="s">
        <v>385</v>
      </c>
      <c r="S466" s="206" t="s">
        <v>81</v>
      </c>
      <c r="T466" s="211">
        <v>39954</v>
      </c>
      <c r="U466" s="211">
        <v>3856.06</v>
      </c>
      <c r="V466" s="213">
        <v>30386.48</v>
      </c>
      <c r="W466" s="213">
        <v>76.05</v>
      </c>
    </row>
    <row r="467" spans="1:23" ht="15" customHeight="1">
      <c r="C467" s="3">
        <v>10</v>
      </c>
      <c r="D467" s="15" t="s">
        <v>363</v>
      </c>
      <c r="E467" s="312" t="s">
        <v>210</v>
      </c>
      <c r="G467" s="26">
        <v>0</v>
      </c>
      <c r="H467" s="26">
        <v>0</v>
      </c>
      <c r="I467" s="26">
        <v>0</v>
      </c>
      <c r="J467" s="26">
        <v>0</v>
      </c>
      <c r="K467" s="26">
        <v>0</v>
      </c>
      <c r="L467" s="26">
        <v>0</v>
      </c>
      <c r="M467" s="26">
        <v>0</v>
      </c>
      <c r="N467" s="26">
        <v>0</v>
      </c>
      <c r="O467" s="285"/>
      <c r="P467" s="202">
        <v>452</v>
      </c>
      <c r="Q467" s="210">
        <v>10</v>
      </c>
      <c r="R467" s="205" t="s">
        <v>386</v>
      </c>
      <c r="S467" s="206" t="s">
        <v>83</v>
      </c>
      <c r="T467" s="211">
        <v>51</v>
      </c>
      <c r="U467" s="211">
        <v>0</v>
      </c>
      <c r="V467" s="213">
        <v>0</v>
      </c>
      <c r="W467" s="213">
        <v>0</v>
      </c>
    </row>
    <row r="468" spans="1:23" ht="15" customHeight="1">
      <c r="C468" s="3">
        <v>10</v>
      </c>
      <c r="D468" s="15" t="s">
        <v>364</v>
      </c>
      <c r="E468" s="312" t="s">
        <v>213</v>
      </c>
      <c r="G468" s="26">
        <v>0</v>
      </c>
      <c r="H468" s="26">
        <v>0</v>
      </c>
      <c r="I468" s="26">
        <v>0</v>
      </c>
      <c r="J468" s="26">
        <v>0</v>
      </c>
      <c r="K468" s="26">
        <v>0</v>
      </c>
      <c r="L468" s="26">
        <v>0</v>
      </c>
      <c r="M468" s="26">
        <v>0</v>
      </c>
      <c r="N468" s="26">
        <v>0</v>
      </c>
      <c r="O468" s="285"/>
      <c r="P468" s="202">
        <v>453</v>
      </c>
      <c r="Q468" s="210">
        <v>10</v>
      </c>
      <c r="R468" s="205" t="s">
        <v>387</v>
      </c>
      <c r="S468" s="206" t="s">
        <v>85</v>
      </c>
      <c r="T468" s="211">
        <v>1477</v>
      </c>
      <c r="U468" s="211">
        <v>0</v>
      </c>
      <c r="V468" s="213">
        <v>1567.91</v>
      </c>
      <c r="W468" s="213">
        <v>106.16</v>
      </c>
    </row>
    <row r="469" spans="1:23" ht="15" customHeight="1">
      <c r="G469" s="26"/>
      <c r="H469" s="26"/>
      <c r="I469" s="26"/>
      <c r="J469" s="26"/>
      <c r="K469" s="26"/>
      <c r="L469" s="26"/>
      <c r="M469" s="26"/>
      <c r="N469" s="26"/>
      <c r="P469" s="202">
        <v>454</v>
      </c>
      <c r="Q469" s="210">
        <v>10</v>
      </c>
      <c r="R469" s="205" t="s">
        <v>388</v>
      </c>
      <c r="S469" s="206" t="s">
        <v>87</v>
      </c>
      <c r="T469" s="211">
        <v>16040</v>
      </c>
      <c r="U469" s="211">
        <v>1322.31</v>
      </c>
      <c r="V469" s="213">
        <v>10571.26</v>
      </c>
      <c r="W469" s="213">
        <v>65.91</v>
      </c>
    </row>
    <row r="470" spans="1:23" s="200" customFormat="1" ht="15" customHeight="1">
      <c r="A470" s="196" t="s">
        <v>104</v>
      </c>
      <c r="B470" s="196" t="s">
        <v>2317</v>
      </c>
      <c r="C470" s="75"/>
      <c r="D470" s="323" t="s">
        <v>2046</v>
      </c>
      <c r="E470" s="323"/>
      <c r="F470" s="324"/>
      <c r="G470" s="325">
        <f>SUM(G454:G469)</f>
        <v>5292</v>
      </c>
      <c r="H470" s="325">
        <f t="shared" ref="H470:N470" si="53">SUM(H454:H469)</f>
        <v>1414</v>
      </c>
      <c r="I470" s="325">
        <f t="shared" si="53"/>
        <v>3431</v>
      </c>
      <c r="J470" s="325">
        <f t="shared" si="53"/>
        <v>102</v>
      </c>
      <c r="K470" s="325">
        <f t="shared" si="53"/>
        <v>4458</v>
      </c>
      <c r="L470" s="325">
        <f t="shared" si="53"/>
        <v>168</v>
      </c>
      <c r="M470" s="325">
        <f t="shared" si="53"/>
        <v>1788</v>
      </c>
      <c r="N470" s="325">
        <f t="shared" si="53"/>
        <v>4518</v>
      </c>
      <c r="O470" s="287"/>
      <c r="P470" s="202">
        <v>455</v>
      </c>
      <c r="Q470" s="210">
        <v>10</v>
      </c>
      <c r="R470" s="205" t="s">
        <v>389</v>
      </c>
      <c r="S470" s="206" t="s">
        <v>89</v>
      </c>
      <c r="T470" s="211">
        <v>33585</v>
      </c>
      <c r="U470" s="211">
        <v>2978.48</v>
      </c>
      <c r="V470" s="213">
        <v>23629.48</v>
      </c>
      <c r="W470" s="213">
        <v>70.36</v>
      </c>
    </row>
    <row r="471" spans="1:23" s="46" customFormat="1" ht="15" customHeight="1">
      <c r="A471" s="2"/>
      <c r="B471" s="2"/>
      <c r="C471" s="3"/>
      <c r="D471" s="47"/>
      <c r="E471" s="47"/>
      <c r="F471" s="191"/>
      <c r="G471" s="48"/>
      <c r="H471" s="48"/>
      <c r="I471" s="48"/>
      <c r="J471" s="48"/>
      <c r="K471" s="48"/>
      <c r="L471" s="48"/>
      <c r="M471" s="48"/>
      <c r="N471" s="48"/>
      <c r="O471" s="289"/>
      <c r="P471" s="202">
        <v>456</v>
      </c>
      <c r="Q471" s="210">
        <v>10</v>
      </c>
      <c r="R471" s="205" t="s">
        <v>390</v>
      </c>
      <c r="S471" s="206" t="s">
        <v>91</v>
      </c>
      <c r="T471" s="211">
        <v>5000</v>
      </c>
      <c r="U471" s="211">
        <v>404.79</v>
      </c>
      <c r="V471" s="213">
        <v>2416.86</v>
      </c>
      <c r="W471" s="213">
        <v>48.34</v>
      </c>
    </row>
    <row r="472" spans="1:23" ht="15" customHeight="1">
      <c r="D472" s="47" t="s">
        <v>2047</v>
      </c>
      <c r="G472" s="26"/>
      <c r="H472" s="26"/>
      <c r="I472" s="26"/>
      <c r="J472" s="26"/>
      <c r="K472" s="26"/>
      <c r="L472" s="26"/>
      <c r="M472" s="26"/>
      <c r="N472" s="26"/>
      <c r="P472" s="202">
        <v>457</v>
      </c>
      <c r="Q472" s="210">
        <v>10</v>
      </c>
      <c r="R472" s="205" t="s">
        <v>391</v>
      </c>
      <c r="S472" s="206" t="s">
        <v>93</v>
      </c>
      <c r="T472" s="211">
        <v>4000</v>
      </c>
      <c r="U472" s="211">
        <v>0</v>
      </c>
      <c r="V472" s="213">
        <v>0</v>
      </c>
      <c r="W472" s="213">
        <v>0</v>
      </c>
    </row>
    <row r="473" spans="1:23" ht="15" customHeight="1">
      <c r="G473" s="26"/>
      <c r="H473" s="26"/>
      <c r="I473" s="26"/>
      <c r="J473" s="26"/>
      <c r="K473" s="26"/>
      <c r="L473" s="26"/>
      <c r="M473" s="26"/>
      <c r="N473" s="26"/>
      <c r="P473" s="202">
        <v>458</v>
      </c>
      <c r="Q473" s="210">
        <v>10</v>
      </c>
      <c r="R473" s="205" t="s">
        <v>392</v>
      </c>
      <c r="S473" s="206" t="s">
        <v>95</v>
      </c>
      <c r="T473" s="211">
        <v>0</v>
      </c>
      <c r="U473" s="211">
        <v>0</v>
      </c>
      <c r="V473" s="213">
        <v>0</v>
      </c>
      <c r="W473" s="213">
        <v>0</v>
      </c>
    </row>
    <row r="474" spans="1:23" ht="15" customHeight="1">
      <c r="C474" s="3">
        <v>10</v>
      </c>
      <c r="D474" s="15" t="s">
        <v>365</v>
      </c>
      <c r="E474" s="312" t="s">
        <v>137</v>
      </c>
      <c r="G474" s="26">
        <v>0</v>
      </c>
      <c r="H474" s="26">
        <v>0</v>
      </c>
      <c r="I474" s="26">
        <v>0</v>
      </c>
      <c r="J474" s="26">
        <v>0</v>
      </c>
      <c r="K474" s="26">
        <v>0</v>
      </c>
      <c r="L474" s="26">
        <v>0</v>
      </c>
      <c r="M474" s="26">
        <v>0</v>
      </c>
      <c r="N474" s="26">
        <v>0</v>
      </c>
      <c r="O474" s="285"/>
      <c r="P474" s="202">
        <v>459</v>
      </c>
      <c r="Q474" s="210">
        <v>10</v>
      </c>
      <c r="R474" s="205" t="s">
        <v>393</v>
      </c>
      <c r="S474" s="206" t="s">
        <v>97</v>
      </c>
      <c r="T474" s="211">
        <v>5480</v>
      </c>
      <c r="U474" s="211">
        <v>480</v>
      </c>
      <c r="V474" s="213">
        <v>3798</v>
      </c>
      <c r="W474" s="213">
        <v>69.31</v>
      </c>
    </row>
    <row r="475" spans="1:23" ht="15" customHeight="1">
      <c r="C475" s="3">
        <v>10</v>
      </c>
      <c r="D475" s="15" t="s">
        <v>366</v>
      </c>
      <c r="E475" s="312" t="s">
        <v>216</v>
      </c>
      <c r="G475" s="26">
        <v>0</v>
      </c>
      <c r="H475" s="26">
        <v>0</v>
      </c>
      <c r="I475" s="26">
        <v>0</v>
      </c>
      <c r="J475" s="26">
        <v>0</v>
      </c>
      <c r="K475" s="26">
        <v>0</v>
      </c>
      <c r="L475" s="26">
        <v>0</v>
      </c>
      <c r="M475" s="26">
        <v>0</v>
      </c>
      <c r="N475" s="26">
        <v>0</v>
      </c>
      <c r="O475" s="285"/>
      <c r="P475" s="202">
        <v>460</v>
      </c>
      <c r="Q475" s="210">
        <v>10</v>
      </c>
      <c r="R475" s="205" t="s">
        <v>394</v>
      </c>
      <c r="S475" s="206" t="s">
        <v>99</v>
      </c>
      <c r="T475" s="211">
        <v>413</v>
      </c>
      <c r="U475" s="211">
        <v>0</v>
      </c>
      <c r="V475" s="213">
        <v>400.68</v>
      </c>
      <c r="W475" s="213">
        <v>97.02</v>
      </c>
    </row>
    <row r="476" spans="1:23" ht="15" customHeight="1">
      <c r="C476" s="3">
        <v>10</v>
      </c>
      <c r="D476" s="15" t="s">
        <v>367</v>
      </c>
      <c r="E476" s="312" t="s">
        <v>139</v>
      </c>
      <c r="G476" s="26">
        <v>405</v>
      </c>
      <c r="H476" s="26">
        <v>360</v>
      </c>
      <c r="I476" s="26">
        <v>360</v>
      </c>
      <c r="J476" s="26">
        <v>360</v>
      </c>
      <c r="K476" s="26">
        <v>500</v>
      </c>
      <c r="L476" s="26">
        <v>210</v>
      </c>
      <c r="M476" s="26">
        <v>360</v>
      </c>
      <c r="N476" s="26">
        <v>500</v>
      </c>
      <c r="O476" s="285"/>
      <c r="P476" s="202">
        <v>461</v>
      </c>
      <c r="Q476" s="210">
        <v>10</v>
      </c>
      <c r="R476" s="205" t="s">
        <v>395</v>
      </c>
      <c r="S476" s="206" t="s">
        <v>101</v>
      </c>
      <c r="T476" s="211">
        <v>0</v>
      </c>
      <c r="U476" s="211">
        <v>0</v>
      </c>
      <c r="V476" s="213">
        <v>0</v>
      </c>
      <c r="W476" s="213">
        <v>0</v>
      </c>
    </row>
    <row r="477" spans="1:23" ht="15" customHeight="1">
      <c r="C477" s="3">
        <v>10</v>
      </c>
      <c r="D477" s="15" t="s">
        <v>368</v>
      </c>
      <c r="E477" s="312" t="s">
        <v>145</v>
      </c>
      <c r="G477" s="26">
        <v>0</v>
      </c>
      <c r="H477" s="26">
        <v>0</v>
      </c>
      <c r="I477" s="26">
        <v>0</v>
      </c>
      <c r="J477" s="26">
        <v>0</v>
      </c>
      <c r="K477" s="26">
        <v>0</v>
      </c>
      <c r="L477" s="26">
        <v>0</v>
      </c>
      <c r="M477" s="26">
        <v>0</v>
      </c>
      <c r="N477" s="26">
        <v>0</v>
      </c>
      <c r="O477" s="285"/>
      <c r="P477" s="202">
        <v>462</v>
      </c>
      <c r="Q477" s="210">
        <v>10</v>
      </c>
      <c r="R477" s="205" t="s">
        <v>396</v>
      </c>
      <c r="S477" s="206" t="s">
        <v>103</v>
      </c>
      <c r="T477" s="211">
        <v>0</v>
      </c>
      <c r="U477" s="211">
        <v>0</v>
      </c>
      <c r="V477" s="213">
        <v>0</v>
      </c>
      <c r="W477" s="213">
        <v>0</v>
      </c>
    </row>
    <row r="478" spans="1:23" ht="15" customHeight="1">
      <c r="C478" s="3">
        <v>10</v>
      </c>
      <c r="D478" s="15" t="s">
        <v>369</v>
      </c>
      <c r="E478" s="312" t="s">
        <v>147</v>
      </c>
      <c r="G478" s="26">
        <v>0</v>
      </c>
      <c r="H478" s="26">
        <v>0</v>
      </c>
      <c r="I478" s="26">
        <v>0</v>
      </c>
      <c r="J478" s="26">
        <v>0</v>
      </c>
      <c r="K478" s="26">
        <v>0</v>
      </c>
      <c r="L478" s="26">
        <v>0</v>
      </c>
      <c r="M478" s="26">
        <v>0</v>
      </c>
      <c r="N478" s="26">
        <v>0</v>
      </c>
      <c r="O478" s="285"/>
      <c r="P478" s="202">
        <v>463</v>
      </c>
      <c r="Q478" s="210">
        <v>10</v>
      </c>
      <c r="R478" s="205" t="s">
        <v>2623</v>
      </c>
      <c r="S478" s="206"/>
      <c r="T478" s="211"/>
      <c r="U478" s="211"/>
      <c r="V478" s="213"/>
      <c r="W478" s="213"/>
    </row>
    <row r="479" spans="1:23" ht="15" customHeight="1">
      <c r="C479" s="3">
        <v>10</v>
      </c>
      <c r="D479" s="15" t="s">
        <v>370</v>
      </c>
      <c r="E479" s="312" t="s">
        <v>151</v>
      </c>
      <c r="G479" s="26">
        <v>0</v>
      </c>
      <c r="H479" s="26">
        <v>80</v>
      </c>
      <c r="I479" s="26">
        <v>0</v>
      </c>
      <c r="J479" s="26">
        <v>80</v>
      </c>
      <c r="K479" s="26">
        <v>0</v>
      </c>
      <c r="L479" s="26">
        <v>125</v>
      </c>
      <c r="M479" s="26">
        <v>214</v>
      </c>
      <c r="N479" s="26">
        <v>200</v>
      </c>
      <c r="O479" s="285" t="s">
        <v>2692</v>
      </c>
      <c r="P479" s="202">
        <v>464</v>
      </c>
      <c r="Q479" s="210">
        <v>10</v>
      </c>
      <c r="R479" s="205" t="s">
        <v>2621</v>
      </c>
      <c r="S479" s="206"/>
      <c r="T479" s="211">
        <v>315119</v>
      </c>
      <c r="U479" s="211">
        <v>26577.64</v>
      </c>
      <c r="V479" s="213">
        <v>212103.86</v>
      </c>
      <c r="W479" s="213">
        <v>0</v>
      </c>
    </row>
    <row r="480" spans="1:23" ht="15" customHeight="1">
      <c r="C480" s="3">
        <v>10</v>
      </c>
      <c r="D480" s="15" t="s">
        <v>371</v>
      </c>
      <c r="E480" s="312" t="s">
        <v>153</v>
      </c>
      <c r="G480" s="26">
        <v>251</v>
      </c>
      <c r="H480" s="26">
        <v>100</v>
      </c>
      <c r="I480" s="26">
        <v>488</v>
      </c>
      <c r="J480" s="26">
        <v>731</v>
      </c>
      <c r="K480" s="26">
        <v>600</v>
      </c>
      <c r="L480" s="26">
        <v>42</v>
      </c>
      <c r="M480" s="26">
        <v>72</v>
      </c>
      <c r="N480" s="26">
        <v>400</v>
      </c>
      <c r="O480" s="285"/>
      <c r="P480" s="202">
        <v>465</v>
      </c>
      <c r="Q480" s="210">
        <v>10</v>
      </c>
      <c r="R480" s="205" t="s">
        <v>104</v>
      </c>
      <c r="S480" s="206"/>
      <c r="T480" s="211"/>
      <c r="U480" s="211"/>
      <c r="V480" s="213"/>
      <c r="W480" s="213"/>
    </row>
    <row r="481" spans="1:23" ht="15" customHeight="1">
      <c r="C481" s="3">
        <v>10</v>
      </c>
      <c r="D481" s="15" t="s">
        <v>372</v>
      </c>
      <c r="E481" s="312" t="s">
        <v>159</v>
      </c>
      <c r="G481" s="26">
        <v>0</v>
      </c>
      <c r="H481" s="26">
        <v>0</v>
      </c>
      <c r="I481" s="26">
        <v>0</v>
      </c>
      <c r="J481" s="26">
        <v>0</v>
      </c>
      <c r="K481" s="26">
        <v>0</v>
      </c>
      <c r="L481" s="26">
        <v>0</v>
      </c>
      <c r="M481" s="26">
        <v>0</v>
      </c>
      <c r="N481" s="26">
        <v>0</v>
      </c>
      <c r="O481" s="285"/>
      <c r="P481" s="202">
        <v>466</v>
      </c>
      <c r="Q481" s="210">
        <v>10</v>
      </c>
      <c r="R481" s="205" t="s">
        <v>2624</v>
      </c>
      <c r="S481" s="206"/>
      <c r="T481" s="211"/>
      <c r="U481" s="211"/>
      <c r="V481" s="213"/>
      <c r="W481" s="213"/>
    </row>
    <row r="482" spans="1:23" ht="15" customHeight="1">
      <c r="C482" s="3">
        <v>10</v>
      </c>
      <c r="D482" s="15" t="s">
        <v>373</v>
      </c>
      <c r="E482" s="312" t="s">
        <v>229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85"/>
      <c r="P482" s="202">
        <v>467</v>
      </c>
      <c r="Q482" s="210">
        <v>10</v>
      </c>
      <c r="R482" s="205" t="s">
        <v>397</v>
      </c>
      <c r="S482" s="206" t="s">
        <v>115</v>
      </c>
      <c r="T482" s="211">
        <v>200</v>
      </c>
      <c r="U482" s="211">
        <v>0</v>
      </c>
      <c r="V482" s="213">
        <v>99.11</v>
      </c>
      <c r="W482" s="213">
        <v>49.56</v>
      </c>
    </row>
    <row r="483" spans="1:23" ht="15" customHeight="1">
      <c r="C483" s="3">
        <v>10</v>
      </c>
      <c r="D483" s="15" t="s">
        <v>374</v>
      </c>
      <c r="E483" s="312" t="s">
        <v>162</v>
      </c>
      <c r="G483" s="26">
        <v>0</v>
      </c>
      <c r="H483" s="26">
        <v>0</v>
      </c>
      <c r="I483" s="26">
        <v>0</v>
      </c>
      <c r="J483" s="26">
        <v>0</v>
      </c>
      <c r="K483" s="26">
        <v>0</v>
      </c>
      <c r="L483" s="26">
        <v>0</v>
      </c>
      <c r="M483" s="26">
        <v>0</v>
      </c>
      <c r="N483" s="26">
        <v>0</v>
      </c>
      <c r="O483" s="285"/>
      <c r="P483" s="202">
        <v>468</v>
      </c>
      <c r="Q483" s="210">
        <v>10</v>
      </c>
      <c r="R483" s="205" t="s">
        <v>398</v>
      </c>
      <c r="S483" s="206" t="s">
        <v>117</v>
      </c>
      <c r="T483" s="211">
        <v>25</v>
      </c>
      <c r="U483" s="211">
        <v>0</v>
      </c>
      <c r="V483" s="213">
        <v>6.26</v>
      </c>
      <c r="W483" s="213">
        <v>25.04</v>
      </c>
    </row>
    <row r="484" spans="1:23" ht="15" customHeight="1">
      <c r="G484" s="26"/>
      <c r="H484" s="26"/>
      <c r="I484" s="26"/>
      <c r="J484" s="26"/>
      <c r="K484" s="26"/>
      <c r="L484" s="26"/>
      <c r="M484" s="26"/>
      <c r="N484" s="26"/>
      <c r="P484" s="202">
        <v>469</v>
      </c>
      <c r="Q484" s="210">
        <v>10</v>
      </c>
      <c r="R484" s="205" t="s">
        <v>399</v>
      </c>
      <c r="S484" s="206" t="s">
        <v>119</v>
      </c>
      <c r="T484" s="211">
        <v>20</v>
      </c>
      <c r="U484" s="211">
        <v>0</v>
      </c>
      <c r="V484" s="213">
        <v>24.76</v>
      </c>
      <c r="W484" s="213">
        <v>123.8</v>
      </c>
    </row>
    <row r="485" spans="1:23" s="22" customFormat="1" ht="15" customHeight="1">
      <c r="A485" s="2" t="s">
        <v>135</v>
      </c>
      <c r="B485" s="2" t="s">
        <v>2317</v>
      </c>
      <c r="C485" s="3"/>
      <c r="D485" s="323" t="s">
        <v>2048</v>
      </c>
      <c r="E485" s="323"/>
      <c r="F485" s="324"/>
      <c r="G485" s="325">
        <f>SUM(G472:G484)</f>
        <v>656</v>
      </c>
      <c r="H485" s="325">
        <f t="shared" ref="H485:N485" si="54">SUM(H472:H484)</f>
        <v>540</v>
      </c>
      <c r="I485" s="325">
        <f t="shared" si="54"/>
        <v>848</v>
      </c>
      <c r="J485" s="325">
        <f t="shared" si="54"/>
        <v>1171</v>
      </c>
      <c r="K485" s="325">
        <f t="shared" si="54"/>
        <v>1100</v>
      </c>
      <c r="L485" s="325">
        <f t="shared" si="54"/>
        <v>377</v>
      </c>
      <c r="M485" s="325">
        <f t="shared" si="54"/>
        <v>646</v>
      </c>
      <c r="N485" s="325">
        <f t="shared" si="54"/>
        <v>1100</v>
      </c>
      <c r="O485" s="290"/>
      <c r="P485" s="202">
        <v>470</v>
      </c>
      <c r="Q485" s="210">
        <v>10</v>
      </c>
      <c r="R485" s="205" t="s">
        <v>400</v>
      </c>
      <c r="S485" s="206" t="s">
        <v>121</v>
      </c>
      <c r="T485" s="211">
        <v>100</v>
      </c>
      <c r="U485" s="211">
        <v>0</v>
      </c>
      <c r="V485" s="213">
        <v>0</v>
      </c>
      <c r="W485" s="213">
        <v>0</v>
      </c>
    </row>
    <row r="486" spans="1:23" s="46" customFormat="1" ht="15" customHeight="1">
      <c r="A486" s="2"/>
      <c r="B486" s="2"/>
      <c r="C486" s="3"/>
      <c r="D486" s="47"/>
      <c r="E486" s="47"/>
      <c r="F486" s="191"/>
      <c r="G486" s="48"/>
      <c r="H486" s="48"/>
      <c r="I486" s="48"/>
      <c r="J486" s="48"/>
      <c r="K486" s="48"/>
      <c r="L486" s="48"/>
      <c r="M486" s="48"/>
      <c r="N486" s="48"/>
      <c r="O486" s="289"/>
      <c r="P486" s="202">
        <v>471</v>
      </c>
      <c r="Q486" s="210">
        <v>10</v>
      </c>
      <c r="R486" s="205" t="s">
        <v>401</v>
      </c>
      <c r="S486" s="206" t="s">
        <v>123</v>
      </c>
      <c r="T486" s="211">
        <v>50</v>
      </c>
      <c r="U486" s="211">
        <v>0</v>
      </c>
      <c r="V486" s="213">
        <v>31.41</v>
      </c>
      <c r="W486" s="213">
        <v>62.82</v>
      </c>
    </row>
    <row r="487" spans="1:23" ht="15" customHeight="1">
      <c r="D487" s="47" t="s">
        <v>2049</v>
      </c>
      <c r="G487" s="26"/>
      <c r="H487" s="26"/>
      <c r="I487" s="26"/>
      <c r="J487" s="26"/>
      <c r="K487" s="26"/>
      <c r="L487" s="26"/>
      <c r="M487" s="26"/>
      <c r="N487" s="26"/>
      <c r="P487" s="202">
        <v>472</v>
      </c>
      <c r="Q487" s="210">
        <v>10</v>
      </c>
      <c r="R487" s="205" t="s">
        <v>402</v>
      </c>
      <c r="S487" s="206" t="s">
        <v>125</v>
      </c>
      <c r="T487" s="211">
        <v>100</v>
      </c>
      <c r="U487" s="211">
        <v>0</v>
      </c>
      <c r="V487" s="213">
        <v>0</v>
      </c>
      <c r="W487" s="213">
        <v>0</v>
      </c>
    </row>
    <row r="488" spans="1:23" ht="15" customHeight="1">
      <c r="G488" s="26"/>
      <c r="H488" s="26"/>
      <c r="I488" s="26"/>
      <c r="J488" s="26"/>
      <c r="K488" s="26"/>
      <c r="L488" s="26"/>
      <c r="M488" s="26"/>
      <c r="N488" s="26"/>
      <c r="P488" s="202">
        <v>473</v>
      </c>
      <c r="Q488" s="210">
        <v>10</v>
      </c>
      <c r="R488" s="205" t="s">
        <v>403</v>
      </c>
      <c r="S488" s="206" t="s">
        <v>106</v>
      </c>
      <c r="T488" s="211">
        <v>27000</v>
      </c>
      <c r="U488" s="211">
        <v>4381.09</v>
      </c>
      <c r="V488" s="213">
        <v>21589.67</v>
      </c>
      <c r="W488" s="213">
        <v>79.959999999999994</v>
      </c>
    </row>
    <row r="489" spans="1:23" ht="15" customHeight="1">
      <c r="C489" s="3">
        <v>10</v>
      </c>
      <c r="D489" s="15" t="s">
        <v>375</v>
      </c>
      <c r="E489" s="312" t="s">
        <v>329</v>
      </c>
      <c r="G489" s="26">
        <v>0</v>
      </c>
      <c r="H489" s="26">
        <v>0</v>
      </c>
      <c r="I489" s="26">
        <v>0</v>
      </c>
      <c r="J489" s="26">
        <v>0</v>
      </c>
      <c r="K489" s="26">
        <v>0</v>
      </c>
      <c r="L489" s="26">
        <v>0</v>
      </c>
      <c r="M489" s="26">
        <v>0</v>
      </c>
      <c r="N489" s="26">
        <v>0</v>
      </c>
      <c r="O489" s="285"/>
      <c r="P489" s="202">
        <v>474</v>
      </c>
      <c r="Q489" s="210">
        <v>10</v>
      </c>
      <c r="R489" s="205" t="s">
        <v>404</v>
      </c>
      <c r="S489" s="206" t="s">
        <v>197</v>
      </c>
      <c r="T489" s="211">
        <v>0</v>
      </c>
      <c r="U489" s="211">
        <v>0</v>
      </c>
      <c r="V489" s="213">
        <v>0</v>
      </c>
      <c r="W489" s="213">
        <v>0</v>
      </c>
    </row>
    <row r="490" spans="1:23" ht="15" customHeight="1">
      <c r="C490" s="3">
        <v>10</v>
      </c>
      <c r="D490" s="15" t="s">
        <v>376</v>
      </c>
      <c r="E490" s="312" t="s">
        <v>171</v>
      </c>
      <c r="G490" s="26">
        <v>12</v>
      </c>
      <c r="H490" s="26">
        <v>68</v>
      </c>
      <c r="I490" s="26">
        <v>113</v>
      </c>
      <c r="J490" s="26">
        <v>15</v>
      </c>
      <c r="K490" s="26">
        <v>120</v>
      </c>
      <c r="L490" s="26">
        <v>110</v>
      </c>
      <c r="M490" s="26">
        <v>0</v>
      </c>
      <c r="N490" s="26">
        <v>0</v>
      </c>
      <c r="O490" s="285"/>
      <c r="P490" s="202">
        <v>475</v>
      </c>
      <c r="Q490" s="210">
        <v>10</v>
      </c>
      <c r="R490" s="205" t="s">
        <v>405</v>
      </c>
      <c r="S490" s="206" t="s">
        <v>128</v>
      </c>
      <c r="T490" s="211">
        <v>0</v>
      </c>
      <c r="U490" s="211">
        <v>0</v>
      </c>
      <c r="V490" s="213">
        <v>36.64</v>
      </c>
      <c r="W490" s="213">
        <v>0</v>
      </c>
    </row>
    <row r="491" spans="1:23" ht="15" customHeight="1">
      <c r="C491" s="3">
        <v>10</v>
      </c>
      <c r="D491" s="15" t="s">
        <v>377</v>
      </c>
      <c r="E491" s="312" t="s">
        <v>173</v>
      </c>
      <c r="G491" s="26">
        <v>96</v>
      </c>
      <c r="H491" s="26">
        <v>2</v>
      </c>
      <c r="I491" s="26">
        <v>195</v>
      </c>
      <c r="J491" s="26">
        <v>30</v>
      </c>
      <c r="K491" s="26">
        <v>0</v>
      </c>
      <c r="L491" s="26">
        <v>38</v>
      </c>
      <c r="M491" s="26">
        <v>0</v>
      </c>
      <c r="N491" s="26">
        <v>0</v>
      </c>
      <c r="O491" s="285"/>
      <c r="P491" s="202">
        <v>476</v>
      </c>
      <c r="Q491" s="210">
        <v>10</v>
      </c>
      <c r="R491" s="205" t="s">
        <v>406</v>
      </c>
      <c r="S491" s="206" t="s">
        <v>200</v>
      </c>
      <c r="T491" s="211">
        <v>3300</v>
      </c>
      <c r="U491" s="211">
        <v>227.45</v>
      </c>
      <c r="V491" s="213">
        <v>1694.93</v>
      </c>
      <c r="W491" s="213">
        <v>51.36</v>
      </c>
    </row>
    <row r="492" spans="1:23" ht="15" customHeight="1">
      <c r="G492" s="26"/>
      <c r="H492" s="26"/>
      <c r="I492" s="26"/>
      <c r="J492" s="26"/>
      <c r="K492" s="26"/>
      <c r="L492" s="26"/>
      <c r="M492" s="26"/>
      <c r="N492" s="26"/>
      <c r="P492" s="202">
        <v>477</v>
      </c>
      <c r="Q492" s="210">
        <v>10</v>
      </c>
      <c r="R492" s="205" t="s">
        <v>407</v>
      </c>
      <c r="S492" s="206" t="s">
        <v>202</v>
      </c>
      <c r="T492" s="211">
        <v>0</v>
      </c>
      <c r="U492" s="211">
        <v>0</v>
      </c>
      <c r="V492" s="213">
        <v>0</v>
      </c>
      <c r="W492" s="213">
        <v>0</v>
      </c>
    </row>
    <row r="493" spans="1:23" s="23" customFormat="1" ht="15" customHeight="1">
      <c r="A493" s="2" t="s">
        <v>163</v>
      </c>
      <c r="B493" s="2" t="s">
        <v>2317</v>
      </c>
      <c r="C493" s="3"/>
      <c r="D493" s="323" t="s">
        <v>2050</v>
      </c>
      <c r="E493" s="323"/>
      <c r="F493" s="324"/>
      <c r="G493" s="325">
        <f>SUM(G487:G492)</f>
        <v>108</v>
      </c>
      <c r="H493" s="325">
        <f t="shared" ref="H493:N493" si="55">SUM(H487:H492)</f>
        <v>70</v>
      </c>
      <c r="I493" s="325">
        <f t="shared" si="55"/>
        <v>308</v>
      </c>
      <c r="J493" s="325">
        <f t="shared" si="55"/>
        <v>45</v>
      </c>
      <c r="K493" s="325">
        <f t="shared" si="55"/>
        <v>120</v>
      </c>
      <c r="L493" s="325">
        <f t="shared" si="55"/>
        <v>148</v>
      </c>
      <c r="M493" s="325">
        <f t="shared" si="55"/>
        <v>0</v>
      </c>
      <c r="N493" s="325">
        <f t="shared" si="55"/>
        <v>0</v>
      </c>
      <c r="O493" s="291"/>
      <c r="P493" s="202">
        <v>478</v>
      </c>
      <c r="Q493" s="210">
        <v>10</v>
      </c>
      <c r="R493" s="205" t="s">
        <v>408</v>
      </c>
      <c r="S493" s="206" t="s">
        <v>130</v>
      </c>
      <c r="T493" s="211">
        <v>3300</v>
      </c>
      <c r="U493" s="211">
        <v>48.98</v>
      </c>
      <c r="V493" s="213">
        <v>1009.71</v>
      </c>
      <c r="W493" s="213">
        <v>30.6</v>
      </c>
    </row>
    <row r="494" spans="1:23" s="46" customFormat="1" ht="15" customHeight="1">
      <c r="A494" s="2"/>
      <c r="B494" s="2"/>
      <c r="C494" s="3"/>
      <c r="D494" s="47"/>
      <c r="E494" s="47"/>
      <c r="F494" s="191"/>
      <c r="G494" s="48"/>
      <c r="H494" s="48"/>
      <c r="I494" s="48"/>
      <c r="J494" s="48"/>
      <c r="K494" s="48"/>
      <c r="L494" s="48"/>
      <c r="M494" s="48"/>
      <c r="N494" s="48"/>
      <c r="O494" s="289"/>
      <c r="P494" s="202">
        <v>479</v>
      </c>
      <c r="Q494" s="210">
        <v>10</v>
      </c>
      <c r="R494" s="205" t="s">
        <v>409</v>
      </c>
      <c r="S494" s="206" t="s">
        <v>132</v>
      </c>
      <c r="T494" s="211">
        <v>2600</v>
      </c>
      <c r="U494" s="211">
        <v>241.42</v>
      </c>
      <c r="V494" s="213">
        <v>2354.67</v>
      </c>
      <c r="W494" s="213">
        <v>90.56</v>
      </c>
    </row>
    <row r="495" spans="1:23" ht="15" customHeight="1">
      <c r="D495" s="47" t="s">
        <v>2051</v>
      </c>
      <c r="G495" s="26"/>
      <c r="H495" s="26"/>
      <c r="I495" s="26"/>
      <c r="J495" s="26"/>
      <c r="K495" s="26"/>
      <c r="L495" s="26"/>
      <c r="M495" s="26"/>
      <c r="N495" s="26"/>
      <c r="P495" s="202">
        <v>480</v>
      </c>
      <c r="Q495" s="210">
        <v>10</v>
      </c>
      <c r="R495" s="205" t="s">
        <v>410</v>
      </c>
      <c r="S495" s="206" t="s">
        <v>206</v>
      </c>
      <c r="T495" s="211">
        <v>75</v>
      </c>
      <c r="U495" s="211">
        <v>0</v>
      </c>
      <c r="V495" s="213">
        <v>26.77</v>
      </c>
      <c r="W495" s="213">
        <v>35.69</v>
      </c>
    </row>
    <row r="496" spans="1:23" ht="15" customHeight="1">
      <c r="G496" s="26"/>
      <c r="H496" s="26"/>
      <c r="I496" s="26"/>
      <c r="J496" s="26"/>
      <c r="K496" s="26"/>
      <c r="L496" s="26"/>
      <c r="M496" s="26"/>
      <c r="N496" s="26"/>
      <c r="P496" s="202">
        <v>481</v>
      </c>
      <c r="Q496" s="210">
        <v>10</v>
      </c>
      <c r="R496" s="205" t="s">
        <v>411</v>
      </c>
      <c r="S496" s="206" t="s">
        <v>208</v>
      </c>
      <c r="T496" s="211">
        <v>0</v>
      </c>
      <c r="U496" s="211">
        <v>0</v>
      </c>
      <c r="V496" s="213">
        <v>0</v>
      </c>
      <c r="W496" s="213">
        <v>0</v>
      </c>
    </row>
    <row r="497" spans="1:23" ht="15" customHeight="1">
      <c r="C497" s="3">
        <v>10</v>
      </c>
      <c r="D497" s="15" t="s">
        <v>378</v>
      </c>
      <c r="E497" s="312" t="s">
        <v>329</v>
      </c>
      <c r="G497" s="26">
        <v>0</v>
      </c>
      <c r="H497" s="26">
        <v>0</v>
      </c>
      <c r="I497" s="26">
        <v>0</v>
      </c>
      <c r="J497" s="26">
        <v>0</v>
      </c>
      <c r="K497" s="26">
        <v>0</v>
      </c>
      <c r="L497" s="26">
        <v>0</v>
      </c>
      <c r="M497" s="26">
        <v>0</v>
      </c>
      <c r="N497" s="26">
        <v>0</v>
      </c>
      <c r="O497" s="285"/>
      <c r="P497" s="202">
        <v>482</v>
      </c>
      <c r="Q497" s="210">
        <v>10</v>
      </c>
      <c r="R497" s="205" t="s">
        <v>412</v>
      </c>
      <c r="S497" s="206" t="s">
        <v>210</v>
      </c>
      <c r="T497" s="211">
        <v>0</v>
      </c>
      <c r="U497" s="211">
        <v>0</v>
      </c>
      <c r="V497" s="213">
        <v>0</v>
      </c>
      <c r="W497" s="213">
        <v>0</v>
      </c>
    </row>
    <row r="498" spans="1:23" ht="15" customHeight="1">
      <c r="C498" s="3">
        <v>10</v>
      </c>
      <c r="D498" s="15" t="s">
        <v>379</v>
      </c>
      <c r="E498" s="312" t="s">
        <v>167</v>
      </c>
      <c r="G498" s="26">
        <v>0</v>
      </c>
      <c r="H498" s="26">
        <v>0</v>
      </c>
      <c r="I498" s="26">
        <v>0</v>
      </c>
      <c r="J498" s="26">
        <v>0</v>
      </c>
      <c r="K498" s="26">
        <v>0</v>
      </c>
      <c r="L498" s="26">
        <v>0</v>
      </c>
      <c r="M498" s="26">
        <v>0</v>
      </c>
      <c r="N498" s="26">
        <v>0</v>
      </c>
      <c r="O498" s="285"/>
      <c r="P498" s="202">
        <v>483</v>
      </c>
      <c r="Q498" s="210">
        <v>10</v>
      </c>
      <c r="R498" s="205" t="s">
        <v>413</v>
      </c>
      <c r="S498" s="206" t="s">
        <v>134</v>
      </c>
      <c r="T498" s="211">
        <v>0</v>
      </c>
      <c r="U498" s="211">
        <v>0</v>
      </c>
      <c r="V498" s="213">
        <v>0</v>
      </c>
      <c r="W498" s="213">
        <v>0</v>
      </c>
    </row>
    <row r="499" spans="1:23" ht="15" customHeight="1">
      <c r="C499" s="3">
        <v>10</v>
      </c>
      <c r="D499" s="15" t="s">
        <v>380</v>
      </c>
      <c r="E499" s="312" t="s">
        <v>247</v>
      </c>
      <c r="G499" s="26">
        <v>0</v>
      </c>
      <c r="H499" s="26">
        <v>0</v>
      </c>
      <c r="I499" s="26">
        <v>0</v>
      </c>
      <c r="J499" s="26">
        <v>0</v>
      </c>
      <c r="K499" s="26">
        <v>0</v>
      </c>
      <c r="L499" s="26">
        <v>0</v>
      </c>
      <c r="M499" s="26">
        <v>0</v>
      </c>
      <c r="N499" s="26">
        <v>10705</v>
      </c>
      <c r="O499" s="285" t="s">
        <v>3064</v>
      </c>
      <c r="P499" s="202">
        <v>484</v>
      </c>
      <c r="Q499" s="210">
        <v>10</v>
      </c>
      <c r="R499" s="205" t="s">
        <v>414</v>
      </c>
      <c r="S499" s="206" t="s">
        <v>213</v>
      </c>
      <c r="T499" s="211">
        <v>0</v>
      </c>
      <c r="U499" s="211">
        <v>0</v>
      </c>
      <c r="V499" s="213">
        <v>0</v>
      </c>
      <c r="W499" s="213">
        <v>0</v>
      </c>
    </row>
    <row r="500" spans="1:23" ht="15" customHeight="1">
      <c r="C500" s="3">
        <v>10</v>
      </c>
      <c r="D500" s="15" t="s">
        <v>2868</v>
      </c>
      <c r="E500" s="312" t="s">
        <v>461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-7000</v>
      </c>
      <c r="O500" s="285" t="s">
        <v>3065</v>
      </c>
      <c r="P500" s="202">
        <v>484</v>
      </c>
      <c r="Q500" s="210">
        <v>10</v>
      </c>
      <c r="R500" s="205" t="s">
        <v>414</v>
      </c>
      <c r="S500" s="206" t="s">
        <v>213</v>
      </c>
      <c r="T500" s="211">
        <v>0</v>
      </c>
      <c r="U500" s="211">
        <v>0</v>
      </c>
      <c r="V500" s="213">
        <v>0</v>
      </c>
      <c r="W500" s="213">
        <v>0</v>
      </c>
    </row>
    <row r="501" spans="1:23" ht="15" customHeight="1">
      <c r="C501" s="3">
        <v>10</v>
      </c>
      <c r="D501" s="15" t="s">
        <v>381</v>
      </c>
      <c r="E501" s="312" t="s">
        <v>382</v>
      </c>
      <c r="G501" s="26">
        <v>0</v>
      </c>
      <c r="H501" s="26">
        <v>0</v>
      </c>
      <c r="I501" s="26">
        <v>0</v>
      </c>
      <c r="J501" s="26">
        <v>0</v>
      </c>
      <c r="K501" s="26">
        <v>0</v>
      </c>
      <c r="L501" s="26">
        <v>0</v>
      </c>
      <c r="M501" s="26">
        <v>0</v>
      </c>
      <c r="N501" s="26">
        <v>0</v>
      </c>
      <c r="O501" s="285"/>
      <c r="P501" s="202">
        <v>485</v>
      </c>
      <c r="Q501" s="210">
        <v>10</v>
      </c>
      <c r="R501" s="205" t="s">
        <v>2623</v>
      </c>
      <c r="S501" s="206"/>
      <c r="T501" s="211"/>
      <c r="U501" s="211"/>
      <c r="V501" s="213"/>
      <c r="W501" s="213"/>
    </row>
    <row r="502" spans="1:23" ht="15" customHeight="1">
      <c r="C502" s="3">
        <v>10</v>
      </c>
      <c r="D502" s="15" t="s">
        <v>383</v>
      </c>
      <c r="E502" s="312" t="s">
        <v>173</v>
      </c>
      <c r="G502" s="26">
        <v>0</v>
      </c>
      <c r="H502" s="26">
        <v>0</v>
      </c>
      <c r="I502" s="26">
        <v>0</v>
      </c>
      <c r="J502" s="26">
        <v>0</v>
      </c>
      <c r="K502" s="26">
        <v>0</v>
      </c>
      <c r="L502" s="26">
        <v>0</v>
      </c>
      <c r="M502" s="26">
        <v>0</v>
      </c>
      <c r="N502" s="26">
        <v>0</v>
      </c>
      <c r="O502" s="285"/>
      <c r="P502" s="202">
        <v>486</v>
      </c>
      <c r="Q502" s="210">
        <v>10</v>
      </c>
      <c r="R502" s="205" t="s">
        <v>104</v>
      </c>
      <c r="S502" s="206"/>
      <c r="T502" s="211">
        <v>36770</v>
      </c>
      <c r="U502" s="211">
        <v>4898.9399999999996</v>
      </c>
      <c r="V502" s="213">
        <v>26873.93</v>
      </c>
      <c r="W502" s="213">
        <v>0</v>
      </c>
    </row>
    <row r="503" spans="1:23" ht="15" customHeight="1">
      <c r="G503" s="26"/>
      <c r="H503" s="26"/>
      <c r="I503" s="26"/>
      <c r="J503" s="26"/>
      <c r="K503" s="26"/>
      <c r="L503" s="26"/>
      <c r="M503" s="26"/>
      <c r="N503" s="26"/>
      <c r="P503" s="202">
        <v>487</v>
      </c>
      <c r="Q503" s="210">
        <v>10</v>
      </c>
      <c r="R503" s="205" t="s">
        <v>135</v>
      </c>
      <c r="S503" s="206"/>
      <c r="T503" s="211"/>
      <c r="U503" s="211"/>
      <c r="V503" s="213"/>
      <c r="W503" s="213"/>
    </row>
    <row r="504" spans="1:23" s="24" customFormat="1" ht="15" customHeight="1">
      <c r="A504" s="2" t="s">
        <v>245</v>
      </c>
      <c r="B504" s="2" t="s">
        <v>2317</v>
      </c>
      <c r="C504" s="3"/>
      <c r="D504" s="323" t="s">
        <v>2052</v>
      </c>
      <c r="E504" s="323"/>
      <c r="F504" s="324"/>
      <c r="G504" s="325">
        <f>SUM(G495:G503)</f>
        <v>0</v>
      </c>
      <c r="H504" s="325">
        <f t="shared" ref="H504:N504" si="56">SUM(H495:H503)</f>
        <v>0</v>
      </c>
      <c r="I504" s="325">
        <f t="shared" si="56"/>
        <v>0</v>
      </c>
      <c r="J504" s="325">
        <f t="shared" si="56"/>
        <v>0</v>
      </c>
      <c r="K504" s="325">
        <f t="shared" si="56"/>
        <v>0</v>
      </c>
      <c r="L504" s="325">
        <f t="shared" si="56"/>
        <v>0</v>
      </c>
      <c r="M504" s="325">
        <f t="shared" si="56"/>
        <v>0</v>
      </c>
      <c r="N504" s="325">
        <f t="shared" si="56"/>
        <v>3705</v>
      </c>
      <c r="O504" s="292"/>
      <c r="P504" s="202">
        <v>488</v>
      </c>
      <c r="Q504" s="210">
        <v>10</v>
      </c>
      <c r="R504" s="205" t="s">
        <v>2626</v>
      </c>
      <c r="S504" s="206"/>
      <c r="T504" s="211"/>
      <c r="U504" s="211"/>
      <c r="V504" s="213"/>
      <c r="W504" s="213"/>
    </row>
    <row r="505" spans="1:23" ht="15" customHeight="1">
      <c r="G505" s="26"/>
      <c r="H505" s="26"/>
      <c r="I505" s="26"/>
      <c r="J505" s="26"/>
      <c r="K505" s="26"/>
      <c r="L505" s="26"/>
      <c r="M505" s="26"/>
      <c r="N505" s="26"/>
      <c r="P505" s="202">
        <v>489</v>
      </c>
      <c r="Q505" s="210">
        <v>10</v>
      </c>
      <c r="R505" s="205" t="s">
        <v>415</v>
      </c>
      <c r="S505" s="206" t="s">
        <v>137</v>
      </c>
      <c r="T505" s="211">
        <v>1650</v>
      </c>
      <c r="U505" s="211">
        <v>146.15</v>
      </c>
      <c r="V505" s="213">
        <v>1166.53</v>
      </c>
      <c r="W505" s="213">
        <v>70.7</v>
      </c>
    </row>
    <row r="506" spans="1:23" s="43" customFormat="1" ht="15" customHeight="1" thickBot="1">
      <c r="A506" s="2"/>
      <c r="B506" s="2" t="s">
        <v>2317</v>
      </c>
      <c r="C506" s="3"/>
      <c r="D506" s="68" t="s">
        <v>1983</v>
      </c>
      <c r="E506" s="326"/>
      <c r="F506" s="327"/>
      <c r="G506" s="328">
        <f t="shared" ref="G506:N506" si="57">+G504+G493+G485+G470+G452</f>
        <v>9495</v>
      </c>
      <c r="H506" s="328">
        <f t="shared" si="57"/>
        <v>3217</v>
      </c>
      <c r="I506" s="328">
        <f t="shared" si="57"/>
        <v>5804</v>
      </c>
      <c r="J506" s="328">
        <f t="shared" si="57"/>
        <v>1374</v>
      </c>
      <c r="K506" s="328">
        <f t="shared" si="57"/>
        <v>6795</v>
      </c>
      <c r="L506" s="328">
        <f t="shared" si="57"/>
        <v>699</v>
      </c>
      <c r="M506" s="328">
        <f t="shared" si="57"/>
        <v>3551</v>
      </c>
      <c r="N506" s="328">
        <f t="shared" si="57"/>
        <v>10440</v>
      </c>
      <c r="O506" s="288"/>
      <c r="P506" s="202">
        <v>490</v>
      </c>
      <c r="Q506" s="210">
        <v>10</v>
      </c>
      <c r="R506" s="205" t="s">
        <v>416</v>
      </c>
      <c r="S506" s="206" t="s">
        <v>216</v>
      </c>
      <c r="T506" s="211">
        <v>0</v>
      </c>
      <c r="U506" s="211">
        <v>0</v>
      </c>
      <c r="V506" s="213">
        <v>0</v>
      </c>
      <c r="W506" s="213">
        <v>0</v>
      </c>
    </row>
    <row r="507" spans="1:23" s="45" customFormat="1" ht="15" customHeight="1" thickTop="1">
      <c r="A507" s="2"/>
      <c r="B507" s="2"/>
      <c r="C507" s="3"/>
      <c r="D507" s="47"/>
      <c r="E507" s="15"/>
      <c r="F507" s="105"/>
      <c r="G507" s="26"/>
      <c r="H507" s="26"/>
      <c r="I507" s="26"/>
      <c r="J507" s="26"/>
      <c r="K507" s="26"/>
      <c r="L507" s="26"/>
      <c r="M507" s="26"/>
      <c r="N507" s="26"/>
      <c r="O507" s="275"/>
      <c r="P507" s="202">
        <v>491</v>
      </c>
      <c r="Q507" s="210">
        <v>10</v>
      </c>
      <c r="R507" s="205" t="s">
        <v>417</v>
      </c>
      <c r="S507" s="206" t="s">
        <v>139</v>
      </c>
      <c r="T507" s="211">
        <v>2000</v>
      </c>
      <c r="U507" s="211">
        <v>0</v>
      </c>
      <c r="V507" s="213">
        <v>395.5</v>
      </c>
      <c r="W507" s="213">
        <v>19.78</v>
      </c>
    </row>
    <row r="508" spans="1:23" s="45" customFormat="1" ht="15" customHeight="1">
      <c r="A508" s="2"/>
      <c r="B508" s="2"/>
      <c r="C508" s="3"/>
      <c r="D508" s="47" t="s">
        <v>6</v>
      </c>
      <c r="E508" s="15"/>
      <c r="F508" s="105"/>
      <c r="G508" s="26"/>
      <c r="H508" s="26"/>
      <c r="I508" s="26"/>
      <c r="J508" s="26"/>
      <c r="K508" s="26"/>
      <c r="L508" s="26"/>
      <c r="M508" s="26"/>
      <c r="N508" s="26"/>
      <c r="O508" s="275"/>
      <c r="P508" s="202">
        <v>492</v>
      </c>
      <c r="Q508" s="210">
        <v>10</v>
      </c>
      <c r="R508" s="205" t="s">
        <v>418</v>
      </c>
      <c r="S508" s="206" t="s">
        <v>419</v>
      </c>
      <c r="T508" s="211">
        <v>15750</v>
      </c>
      <c r="U508" s="211">
        <v>0</v>
      </c>
      <c r="V508" s="213">
        <v>0</v>
      </c>
      <c r="W508" s="213">
        <v>0</v>
      </c>
    </row>
    <row r="509" spans="1:23" s="45" customFormat="1" ht="15" customHeight="1">
      <c r="A509" s="2"/>
      <c r="B509" s="2"/>
      <c r="C509" s="3"/>
      <c r="D509" s="47"/>
      <c r="E509" s="15"/>
      <c r="F509" s="105"/>
      <c r="G509" s="26"/>
      <c r="H509" s="26"/>
      <c r="I509" s="26"/>
      <c r="J509" s="26"/>
      <c r="K509" s="26"/>
      <c r="L509" s="26"/>
      <c r="M509" s="26"/>
      <c r="N509" s="26"/>
      <c r="O509" s="275"/>
      <c r="P509" s="202">
        <v>493</v>
      </c>
      <c r="Q509" s="210">
        <v>10</v>
      </c>
      <c r="R509" s="205" t="s">
        <v>420</v>
      </c>
      <c r="S509" s="206" t="s">
        <v>141</v>
      </c>
      <c r="T509" s="211">
        <v>0</v>
      </c>
      <c r="U509" s="211">
        <v>0</v>
      </c>
      <c r="V509" s="213">
        <v>0</v>
      </c>
      <c r="W509" s="213">
        <v>0</v>
      </c>
    </row>
    <row r="510" spans="1:23" s="5" customFormat="1" ht="15" customHeight="1">
      <c r="A510" s="2"/>
      <c r="B510" s="2"/>
      <c r="C510" s="3"/>
      <c r="D510" s="47" t="s">
        <v>2053</v>
      </c>
      <c r="E510" s="15"/>
      <c r="F510" s="105"/>
      <c r="G510" s="26"/>
      <c r="H510" s="26"/>
      <c r="I510" s="26"/>
      <c r="J510" s="26"/>
      <c r="K510" s="26"/>
      <c r="L510" s="26"/>
      <c r="M510" s="26"/>
      <c r="N510" s="26"/>
      <c r="O510" s="282"/>
      <c r="P510" s="202">
        <v>494</v>
      </c>
      <c r="Q510" s="210">
        <v>10</v>
      </c>
      <c r="R510" s="205" t="s">
        <v>421</v>
      </c>
      <c r="S510" s="206" t="s">
        <v>143</v>
      </c>
      <c r="T510" s="211">
        <v>2500</v>
      </c>
      <c r="U510" s="211">
        <v>375.53</v>
      </c>
      <c r="V510" s="213">
        <v>1582.39</v>
      </c>
      <c r="W510" s="213">
        <v>63.3</v>
      </c>
    </row>
    <row r="511" spans="1:23" ht="15" customHeight="1">
      <c r="G511" s="26"/>
      <c r="H511" s="26"/>
      <c r="I511" s="26"/>
      <c r="J511" s="26"/>
      <c r="K511" s="26"/>
      <c r="L511" s="26"/>
      <c r="M511" s="26"/>
      <c r="N511" s="26"/>
      <c r="P511" s="202">
        <v>495</v>
      </c>
      <c r="Q511" s="210">
        <v>10</v>
      </c>
      <c r="R511" s="205" t="s">
        <v>422</v>
      </c>
      <c r="S511" s="206" t="s">
        <v>145</v>
      </c>
      <c r="T511" s="211">
        <v>0</v>
      </c>
      <c r="U511" s="211">
        <v>0</v>
      </c>
      <c r="V511" s="213">
        <v>0</v>
      </c>
      <c r="W511" s="213">
        <v>0</v>
      </c>
    </row>
    <row r="512" spans="1:23" ht="15" customHeight="1">
      <c r="C512" s="3">
        <v>10</v>
      </c>
      <c r="D512" s="15" t="s">
        <v>384</v>
      </c>
      <c r="E512" s="312" t="s">
        <v>79</v>
      </c>
      <c r="G512" s="26">
        <v>184816</v>
      </c>
      <c r="H512" s="26">
        <v>195275</v>
      </c>
      <c r="I512" s="26">
        <v>195772</v>
      </c>
      <c r="J512" s="26">
        <v>206573</v>
      </c>
      <c r="K512" s="26">
        <v>209119</v>
      </c>
      <c r="L512" s="26">
        <v>121797</v>
      </c>
      <c r="M512" s="26">
        <f>156859*1.33</f>
        <v>208622.47</v>
      </c>
      <c r="N512" s="26">
        <v>210704</v>
      </c>
      <c r="P512" s="202">
        <v>496</v>
      </c>
      <c r="Q512" s="210">
        <v>10</v>
      </c>
      <c r="R512" s="205" t="s">
        <v>423</v>
      </c>
      <c r="S512" s="206" t="s">
        <v>147</v>
      </c>
      <c r="T512" s="211">
        <v>100</v>
      </c>
      <c r="U512" s="211">
        <v>0</v>
      </c>
      <c r="V512" s="213">
        <v>6.61</v>
      </c>
      <c r="W512" s="213">
        <v>6.61</v>
      </c>
    </row>
    <row r="513" spans="1:23" ht="15" customHeight="1">
      <c r="C513" s="3">
        <v>10</v>
      </c>
      <c r="D513" s="15" t="s">
        <v>385</v>
      </c>
      <c r="E513" s="312" t="s">
        <v>81</v>
      </c>
      <c r="G513" s="26">
        <v>46569</v>
      </c>
      <c r="H513" s="26">
        <v>45499</v>
      </c>
      <c r="I513" s="26">
        <v>43756</v>
      </c>
      <c r="J513" s="26">
        <v>46431</v>
      </c>
      <c r="K513" s="26">
        <v>39954</v>
      </c>
      <c r="L513" s="26">
        <v>26530</v>
      </c>
      <c r="M513" s="26">
        <f>34248*1.33</f>
        <v>45549.840000000004</v>
      </c>
      <c r="N513" s="26">
        <v>46613</v>
      </c>
      <c r="P513" s="202">
        <v>497</v>
      </c>
      <c r="Q513" s="210">
        <v>10</v>
      </c>
      <c r="R513" s="205" t="s">
        <v>424</v>
      </c>
      <c r="S513" s="206" t="s">
        <v>149</v>
      </c>
      <c r="T513" s="211">
        <v>1000</v>
      </c>
      <c r="U513" s="211">
        <v>42.6</v>
      </c>
      <c r="V513" s="213">
        <v>339.18</v>
      </c>
      <c r="W513" s="213">
        <v>33.92</v>
      </c>
    </row>
    <row r="514" spans="1:23" ht="15" customHeight="1">
      <c r="C514" s="3">
        <v>10</v>
      </c>
      <c r="D514" s="15" t="s">
        <v>386</v>
      </c>
      <c r="E514" s="312" t="s">
        <v>83</v>
      </c>
      <c r="G514" s="26">
        <v>0</v>
      </c>
      <c r="H514" s="26">
        <v>335</v>
      </c>
      <c r="I514" s="26">
        <v>49</v>
      </c>
      <c r="J514" s="26">
        <v>0</v>
      </c>
      <c r="K514" s="26">
        <v>51</v>
      </c>
      <c r="L514" s="26">
        <v>0</v>
      </c>
      <c r="M514" s="26">
        <v>0</v>
      </c>
      <c r="N514" s="26">
        <v>0</v>
      </c>
      <c r="P514" s="202">
        <v>498</v>
      </c>
      <c r="Q514" s="210">
        <v>10</v>
      </c>
      <c r="R514" s="205" t="s">
        <v>425</v>
      </c>
      <c r="S514" s="206" t="s">
        <v>151</v>
      </c>
      <c r="T514" s="211">
        <v>0</v>
      </c>
      <c r="U514" s="211">
        <v>0</v>
      </c>
      <c r="V514" s="213">
        <v>0</v>
      </c>
      <c r="W514" s="213">
        <v>0</v>
      </c>
    </row>
    <row r="515" spans="1:23" ht="15" customHeight="1">
      <c r="C515" s="3">
        <v>10</v>
      </c>
      <c r="D515" s="15" t="s">
        <v>387</v>
      </c>
      <c r="E515" s="312" t="s">
        <v>85</v>
      </c>
      <c r="G515" s="26">
        <v>765</v>
      </c>
      <c r="H515" s="26">
        <v>26</v>
      </c>
      <c r="I515" s="26">
        <v>1432</v>
      </c>
      <c r="J515" s="26">
        <v>788</v>
      </c>
      <c r="K515" s="26">
        <v>1477</v>
      </c>
      <c r="L515" s="26">
        <v>1568</v>
      </c>
      <c r="M515" s="26">
        <v>1567</v>
      </c>
      <c r="N515" s="26">
        <v>1600</v>
      </c>
      <c r="P515" s="202">
        <v>499</v>
      </c>
      <c r="Q515" s="210">
        <v>10</v>
      </c>
      <c r="R515" s="205" t="s">
        <v>426</v>
      </c>
      <c r="S515" s="206" t="s">
        <v>153</v>
      </c>
      <c r="T515" s="211">
        <v>0</v>
      </c>
      <c r="U515" s="211">
        <v>0</v>
      </c>
      <c r="V515" s="213">
        <v>40</v>
      </c>
      <c r="W515" s="213">
        <v>0</v>
      </c>
    </row>
    <row r="516" spans="1:23" ht="15" customHeight="1">
      <c r="C516" s="3">
        <v>10</v>
      </c>
      <c r="D516" s="15" t="s">
        <v>388</v>
      </c>
      <c r="E516" s="312" t="s">
        <v>87</v>
      </c>
      <c r="G516" s="26">
        <v>14256</v>
      </c>
      <c r="H516" s="26">
        <v>14577</v>
      </c>
      <c r="I516" s="26">
        <v>15391</v>
      </c>
      <c r="J516" s="26">
        <v>15829</v>
      </c>
      <c r="K516" s="26">
        <v>16040</v>
      </c>
      <c r="L516" s="26">
        <v>9249</v>
      </c>
      <c r="M516" s="26">
        <f>11993*1.33</f>
        <v>15950.69</v>
      </c>
      <c r="N516" s="26">
        <v>18015</v>
      </c>
      <c r="P516" s="202">
        <v>500</v>
      </c>
      <c r="Q516" s="210">
        <v>10</v>
      </c>
      <c r="R516" s="205" t="s">
        <v>427</v>
      </c>
      <c r="S516" s="206" t="s">
        <v>155</v>
      </c>
      <c r="T516" s="211">
        <v>0</v>
      </c>
      <c r="U516" s="211">
        <v>0</v>
      </c>
      <c r="V516" s="213">
        <v>0</v>
      </c>
      <c r="W516" s="213">
        <v>0</v>
      </c>
    </row>
    <row r="517" spans="1:23" ht="15" customHeight="1">
      <c r="C517" s="3">
        <v>10</v>
      </c>
      <c r="D517" s="15" t="s">
        <v>389</v>
      </c>
      <c r="E517" s="312" t="s">
        <v>89</v>
      </c>
      <c r="G517" s="26">
        <v>28429</v>
      </c>
      <c r="H517" s="26">
        <v>29526</v>
      </c>
      <c r="I517" s="26">
        <v>31139</v>
      </c>
      <c r="J517" s="26">
        <v>34520</v>
      </c>
      <c r="K517" s="26">
        <v>33585</v>
      </c>
      <c r="L517" s="26">
        <v>20651</v>
      </c>
      <c r="M517" s="26">
        <f>26659*1.33</f>
        <v>35456.47</v>
      </c>
      <c r="N517" s="26">
        <v>35176</v>
      </c>
      <c r="P517" s="202">
        <v>501</v>
      </c>
      <c r="Q517" s="210">
        <v>10</v>
      </c>
      <c r="R517" s="205" t="s">
        <v>428</v>
      </c>
      <c r="S517" s="206" t="s">
        <v>157</v>
      </c>
      <c r="T517" s="211">
        <v>0</v>
      </c>
      <c r="U517" s="211">
        <v>0</v>
      </c>
      <c r="V517" s="213">
        <v>0</v>
      </c>
      <c r="W517" s="213">
        <v>0</v>
      </c>
    </row>
    <row r="518" spans="1:23" ht="15" customHeight="1">
      <c r="C518" s="3">
        <v>10</v>
      </c>
      <c r="D518" s="15" t="s">
        <v>390</v>
      </c>
      <c r="E518" s="312" t="s">
        <v>91</v>
      </c>
      <c r="G518" s="26">
        <v>9380</v>
      </c>
      <c r="H518" s="26">
        <v>4588</v>
      </c>
      <c r="I518" s="26">
        <v>3943</v>
      </c>
      <c r="J518" s="26">
        <v>1912</v>
      </c>
      <c r="K518" s="26">
        <v>5000</v>
      </c>
      <c r="L518" s="26">
        <v>2012</v>
      </c>
      <c r="M518" s="26">
        <f>3110*1.33</f>
        <v>4136.3</v>
      </c>
      <c r="N518" s="26">
        <v>4000</v>
      </c>
      <c r="P518" s="202">
        <v>502</v>
      </c>
      <c r="Q518" s="210">
        <v>10</v>
      </c>
      <c r="R518" s="205" t="s">
        <v>429</v>
      </c>
      <c r="S518" s="206" t="s">
        <v>159</v>
      </c>
      <c r="T518" s="211">
        <v>49807</v>
      </c>
      <c r="U518" s="211">
        <v>181.89</v>
      </c>
      <c r="V518" s="213">
        <v>32756.43</v>
      </c>
      <c r="W518" s="213">
        <v>65.77</v>
      </c>
    </row>
    <row r="519" spans="1:23" ht="15" customHeight="1">
      <c r="C519" s="3">
        <v>10</v>
      </c>
      <c r="D519" s="15" t="s">
        <v>391</v>
      </c>
      <c r="E519" s="312" t="s">
        <v>93</v>
      </c>
      <c r="G519" s="26">
        <v>3551</v>
      </c>
      <c r="H519" s="26">
        <v>3788</v>
      </c>
      <c r="I519" s="26">
        <v>10130</v>
      </c>
      <c r="J519" s="26">
        <v>4864</v>
      </c>
      <c r="K519" s="26">
        <v>4000</v>
      </c>
      <c r="L519" s="26">
        <v>0</v>
      </c>
      <c r="M519" s="26">
        <f>1024*1.33</f>
        <v>1361.92</v>
      </c>
      <c r="N519" s="26">
        <v>1500</v>
      </c>
      <c r="P519" s="202">
        <v>503</v>
      </c>
      <c r="Q519" s="210">
        <v>10</v>
      </c>
      <c r="R519" s="205" t="s">
        <v>430</v>
      </c>
      <c r="S519" s="206" t="s">
        <v>229</v>
      </c>
      <c r="T519" s="211">
        <v>3176</v>
      </c>
      <c r="U519" s="211">
        <v>40.549999999999997</v>
      </c>
      <c r="V519" s="213">
        <v>8434.7999999999993</v>
      </c>
      <c r="W519" s="213">
        <v>265.58</v>
      </c>
    </row>
    <row r="520" spans="1:23" ht="15" customHeight="1">
      <c r="C520" s="3">
        <v>10</v>
      </c>
      <c r="D520" s="15" t="s">
        <v>392</v>
      </c>
      <c r="E520" s="312" t="s">
        <v>95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P520" s="202">
        <v>504</v>
      </c>
      <c r="Q520" s="210">
        <v>10</v>
      </c>
      <c r="R520" s="205" t="s">
        <v>431</v>
      </c>
      <c r="S520" s="206" t="s">
        <v>162</v>
      </c>
      <c r="T520" s="211">
        <v>250</v>
      </c>
      <c r="U520" s="211">
        <v>490</v>
      </c>
      <c r="V520" s="213">
        <v>749.96</v>
      </c>
      <c r="W520" s="213">
        <v>299.98</v>
      </c>
    </row>
    <row r="521" spans="1:23" ht="15" customHeight="1">
      <c r="C521" s="3">
        <v>10</v>
      </c>
      <c r="D521" s="15" t="s">
        <v>393</v>
      </c>
      <c r="E521" s="312" t="s">
        <v>97</v>
      </c>
      <c r="G521" s="26">
        <v>4584</v>
      </c>
      <c r="H521" s="26">
        <v>4832</v>
      </c>
      <c r="I521" s="26">
        <v>5216</v>
      </c>
      <c r="J521" s="26">
        <v>5480</v>
      </c>
      <c r="K521" s="26">
        <v>5480</v>
      </c>
      <c r="L521" s="26">
        <v>3318</v>
      </c>
      <c r="M521" s="26">
        <f>4278*1.33</f>
        <v>5689.7400000000007</v>
      </c>
      <c r="N521" s="26">
        <v>6142</v>
      </c>
      <c r="P521" s="202">
        <v>505</v>
      </c>
      <c r="Q521" s="210">
        <v>10</v>
      </c>
      <c r="R521" s="205" t="s">
        <v>2623</v>
      </c>
      <c r="S521" s="206"/>
      <c r="T521" s="211"/>
      <c r="U521" s="211"/>
      <c r="V521" s="213"/>
      <c r="W521" s="213"/>
    </row>
    <row r="522" spans="1:23" ht="15" customHeight="1">
      <c r="C522" s="3">
        <v>10</v>
      </c>
      <c r="D522" s="15" t="s">
        <v>394</v>
      </c>
      <c r="E522" s="312" t="s">
        <v>99</v>
      </c>
      <c r="G522" s="26">
        <v>410</v>
      </c>
      <c r="H522" s="26">
        <v>410</v>
      </c>
      <c r="I522" s="26">
        <v>351</v>
      </c>
      <c r="J522" s="26">
        <v>410</v>
      </c>
      <c r="K522" s="26">
        <v>413</v>
      </c>
      <c r="L522" s="26">
        <v>401</v>
      </c>
      <c r="M522" s="26">
        <f>400*1.33</f>
        <v>532</v>
      </c>
      <c r="N522" s="26">
        <v>532</v>
      </c>
      <c r="P522" s="202">
        <v>506</v>
      </c>
      <c r="Q522" s="210">
        <v>10</v>
      </c>
      <c r="R522" s="205" t="s">
        <v>135</v>
      </c>
      <c r="S522" s="206"/>
      <c r="T522" s="211">
        <v>76233</v>
      </c>
      <c r="U522" s="211">
        <v>1276.72</v>
      </c>
      <c r="V522" s="213">
        <v>45471.4</v>
      </c>
      <c r="W522" s="213">
        <v>0</v>
      </c>
    </row>
    <row r="523" spans="1:23" ht="15" customHeight="1">
      <c r="C523" s="3">
        <v>10</v>
      </c>
      <c r="D523" s="15" t="s">
        <v>395</v>
      </c>
      <c r="E523" s="312" t="s">
        <v>101</v>
      </c>
      <c r="G523" s="26">
        <v>0</v>
      </c>
      <c r="H523" s="26">
        <v>0</v>
      </c>
      <c r="I523" s="26">
        <v>0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P523" s="202">
        <v>507</v>
      </c>
      <c r="Q523" s="210">
        <v>10</v>
      </c>
      <c r="R523" s="205" t="s">
        <v>163</v>
      </c>
      <c r="S523" s="206"/>
      <c r="T523" s="211"/>
      <c r="U523" s="211"/>
      <c r="V523" s="213"/>
      <c r="W523" s="213"/>
    </row>
    <row r="524" spans="1:23" ht="15" customHeight="1">
      <c r="C524" s="3">
        <v>10</v>
      </c>
      <c r="D524" s="15" t="s">
        <v>396</v>
      </c>
      <c r="E524" s="312" t="s">
        <v>103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P524" s="202">
        <v>508</v>
      </c>
      <c r="Q524" s="210">
        <v>10</v>
      </c>
      <c r="R524" s="205" t="s">
        <v>2627</v>
      </c>
      <c r="S524" s="206"/>
      <c r="T524" s="211"/>
      <c r="U524" s="211"/>
      <c r="V524" s="213"/>
      <c r="W524" s="213"/>
    </row>
    <row r="525" spans="1:23" ht="15" customHeight="1">
      <c r="G525" s="26"/>
      <c r="H525" s="26"/>
      <c r="I525" s="26"/>
      <c r="J525" s="26"/>
      <c r="K525" s="26"/>
      <c r="L525" s="26"/>
      <c r="M525" s="26"/>
      <c r="N525" s="26"/>
      <c r="P525" s="202">
        <v>509</v>
      </c>
      <c r="Q525" s="210">
        <v>10</v>
      </c>
      <c r="R525" s="205" t="s">
        <v>432</v>
      </c>
      <c r="S525" s="206" t="s">
        <v>433</v>
      </c>
      <c r="T525" s="211">
        <v>20000</v>
      </c>
      <c r="U525" s="211">
        <v>1499.59</v>
      </c>
      <c r="V525" s="213">
        <v>12919.28</v>
      </c>
      <c r="W525" s="213">
        <v>64.599999999999994</v>
      </c>
    </row>
    <row r="526" spans="1:23" s="72" customFormat="1" ht="15" customHeight="1">
      <c r="A526" s="5" t="s">
        <v>2410</v>
      </c>
      <c r="B526" s="5" t="s">
        <v>2317</v>
      </c>
      <c r="C526" s="3"/>
      <c r="D526" s="323" t="s">
        <v>2054</v>
      </c>
      <c r="E526" s="323"/>
      <c r="F526" s="324"/>
      <c r="G526" s="325">
        <f>SUM(G510:G525)</f>
        <v>292760</v>
      </c>
      <c r="H526" s="325">
        <f t="shared" ref="H526:N526" si="58">SUM(H510:H525)</f>
        <v>298856</v>
      </c>
      <c r="I526" s="325">
        <f t="shared" si="58"/>
        <v>307179</v>
      </c>
      <c r="J526" s="325">
        <f t="shared" si="58"/>
        <v>316807</v>
      </c>
      <c r="K526" s="325">
        <f t="shared" si="58"/>
        <v>315119</v>
      </c>
      <c r="L526" s="325">
        <f t="shared" si="58"/>
        <v>185526</v>
      </c>
      <c r="M526" s="325">
        <f t="shared" si="58"/>
        <v>318866.42999999993</v>
      </c>
      <c r="N526" s="325">
        <f t="shared" si="58"/>
        <v>324282</v>
      </c>
      <c r="O526" s="286"/>
      <c r="P526" s="202">
        <v>510</v>
      </c>
      <c r="Q526" s="210">
        <v>10</v>
      </c>
      <c r="R526" s="205" t="s">
        <v>434</v>
      </c>
      <c r="S526" s="206" t="s">
        <v>435</v>
      </c>
      <c r="T526" s="211">
        <v>0</v>
      </c>
      <c r="U526" s="211">
        <v>0</v>
      </c>
      <c r="V526" s="213">
        <v>0</v>
      </c>
      <c r="W526" s="213">
        <v>0</v>
      </c>
    </row>
    <row r="527" spans="1:23" s="46" customFormat="1" ht="15" customHeight="1">
      <c r="A527" s="2"/>
      <c r="B527" s="2"/>
      <c r="C527" s="3"/>
      <c r="D527" s="47"/>
      <c r="E527" s="47"/>
      <c r="F527" s="191"/>
      <c r="G527" s="48"/>
      <c r="H527" s="48"/>
      <c r="I527" s="48"/>
      <c r="J527" s="48"/>
      <c r="K527" s="48"/>
      <c r="L527" s="48"/>
      <c r="M527" s="48"/>
      <c r="N527" s="48"/>
      <c r="O527" s="289"/>
      <c r="P527" s="202">
        <v>511</v>
      </c>
      <c r="Q527" s="210">
        <v>10</v>
      </c>
      <c r="R527" s="205" t="s">
        <v>436</v>
      </c>
      <c r="S527" s="206" t="s">
        <v>232</v>
      </c>
      <c r="T527" s="211">
        <v>0</v>
      </c>
      <c r="U527" s="211">
        <v>0</v>
      </c>
      <c r="V527" s="213">
        <v>0</v>
      </c>
      <c r="W527" s="213">
        <v>0</v>
      </c>
    </row>
    <row r="528" spans="1:23" s="5" customFormat="1" ht="15" customHeight="1">
      <c r="A528" s="2"/>
      <c r="B528" s="2"/>
      <c r="C528" s="3"/>
      <c r="D528" s="47" t="s">
        <v>2055</v>
      </c>
      <c r="E528" s="15"/>
      <c r="F528" s="105"/>
      <c r="G528" s="26"/>
      <c r="H528" s="26"/>
      <c r="I528" s="26"/>
      <c r="J528" s="26"/>
      <c r="K528" s="26"/>
      <c r="L528" s="26"/>
      <c r="M528" s="26"/>
      <c r="N528" s="26"/>
      <c r="O528" s="282"/>
      <c r="P528" s="202">
        <v>512</v>
      </c>
      <c r="Q528" s="210">
        <v>10</v>
      </c>
      <c r="R528" s="205" t="s">
        <v>437</v>
      </c>
      <c r="S528" s="206" t="s">
        <v>438</v>
      </c>
      <c r="T528" s="211">
        <v>150</v>
      </c>
      <c r="U528" s="211">
        <v>0</v>
      </c>
      <c r="V528" s="213">
        <v>0</v>
      </c>
      <c r="W528" s="213">
        <v>0</v>
      </c>
    </row>
    <row r="529" spans="3:23" ht="15" customHeight="1">
      <c r="G529" s="26"/>
      <c r="H529" s="26"/>
      <c r="I529" s="26"/>
      <c r="J529" s="26"/>
      <c r="K529" s="26"/>
      <c r="L529" s="26"/>
      <c r="M529" s="26"/>
      <c r="N529" s="26"/>
      <c r="P529" s="202">
        <v>513</v>
      </c>
      <c r="Q529" s="210">
        <v>10</v>
      </c>
      <c r="R529" s="205" t="s">
        <v>439</v>
      </c>
      <c r="S529" s="206" t="s">
        <v>440</v>
      </c>
      <c r="T529" s="211">
        <v>0</v>
      </c>
      <c r="U529" s="211">
        <v>0</v>
      </c>
      <c r="V529" s="213">
        <v>0</v>
      </c>
      <c r="W529" s="213">
        <v>0</v>
      </c>
    </row>
    <row r="530" spans="3:23" ht="15" customHeight="1">
      <c r="C530" s="3">
        <v>10</v>
      </c>
      <c r="D530" s="15" t="s">
        <v>397</v>
      </c>
      <c r="E530" s="312" t="s">
        <v>115</v>
      </c>
      <c r="G530" s="26">
        <v>0</v>
      </c>
      <c r="H530" s="26">
        <v>31</v>
      </c>
      <c r="I530" s="26">
        <v>39</v>
      </c>
      <c r="J530" s="26">
        <v>195</v>
      </c>
      <c r="K530" s="26">
        <v>200</v>
      </c>
      <c r="L530" s="26">
        <v>99</v>
      </c>
      <c r="M530" s="26">
        <v>170</v>
      </c>
      <c r="N530" s="26">
        <v>200</v>
      </c>
      <c r="O530" s="285"/>
      <c r="P530" s="202">
        <v>514</v>
      </c>
      <c r="Q530" s="210">
        <v>10</v>
      </c>
      <c r="R530" s="205" t="s">
        <v>441</v>
      </c>
      <c r="S530" s="206" t="s">
        <v>234</v>
      </c>
      <c r="T530" s="211">
        <v>1000</v>
      </c>
      <c r="U530" s="211">
        <v>0</v>
      </c>
      <c r="V530" s="213">
        <v>0</v>
      </c>
      <c r="W530" s="213">
        <v>0</v>
      </c>
    </row>
    <row r="531" spans="3:23" ht="15" customHeight="1">
      <c r="C531" s="3">
        <v>10</v>
      </c>
      <c r="D531" s="15" t="s">
        <v>398</v>
      </c>
      <c r="E531" s="312" t="s">
        <v>117</v>
      </c>
      <c r="G531" s="26">
        <v>0</v>
      </c>
      <c r="H531" s="26">
        <v>20</v>
      </c>
      <c r="I531" s="26">
        <v>0</v>
      </c>
      <c r="J531" s="26">
        <v>25</v>
      </c>
      <c r="K531" s="26">
        <v>25</v>
      </c>
      <c r="L531" s="26">
        <v>6</v>
      </c>
      <c r="M531" s="26">
        <v>11</v>
      </c>
      <c r="N531" s="26">
        <v>25</v>
      </c>
      <c r="O531" s="285"/>
      <c r="P531" s="202">
        <v>515</v>
      </c>
      <c r="Q531" s="210">
        <v>10</v>
      </c>
      <c r="R531" s="205" t="s">
        <v>442</v>
      </c>
      <c r="S531" s="206" t="s">
        <v>443</v>
      </c>
      <c r="T531" s="211">
        <v>1500</v>
      </c>
      <c r="U531" s="211">
        <v>0</v>
      </c>
      <c r="V531" s="213">
        <v>0</v>
      </c>
      <c r="W531" s="213">
        <v>0</v>
      </c>
    </row>
    <row r="532" spans="3:23" ht="15" customHeight="1">
      <c r="C532" s="3">
        <v>10</v>
      </c>
      <c r="D532" s="15" t="s">
        <v>399</v>
      </c>
      <c r="E532" s="312" t="s">
        <v>119</v>
      </c>
      <c r="G532" s="26">
        <v>19</v>
      </c>
      <c r="H532" s="26">
        <v>7</v>
      </c>
      <c r="I532" s="26">
        <v>6</v>
      </c>
      <c r="J532" s="26">
        <v>16</v>
      </c>
      <c r="K532" s="26">
        <v>20</v>
      </c>
      <c r="L532" s="26">
        <v>25</v>
      </c>
      <c r="M532" s="26">
        <v>43</v>
      </c>
      <c r="N532" s="26">
        <v>25</v>
      </c>
      <c r="O532" s="285"/>
      <c r="P532" s="202">
        <v>516</v>
      </c>
      <c r="Q532" s="210">
        <v>10</v>
      </c>
      <c r="R532" s="205" t="s">
        <v>444</v>
      </c>
      <c r="S532" s="206" t="s">
        <v>445</v>
      </c>
      <c r="T532" s="211">
        <v>0</v>
      </c>
      <c r="U532" s="211">
        <v>0</v>
      </c>
      <c r="V532" s="213">
        <v>0</v>
      </c>
      <c r="W532" s="213">
        <v>0</v>
      </c>
    </row>
    <row r="533" spans="3:23" ht="15" customHeight="1">
      <c r="C533" s="3">
        <v>10</v>
      </c>
      <c r="D533" s="15" t="s">
        <v>400</v>
      </c>
      <c r="E533" s="312" t="s">
        <v>121</v>
      </c>
      <c r="G533" s="26">
        <v>134</v>
      </c>
      <c r="H533" s="26">
        <v>34</v>
      </c>
      <c r="I533" s="26">
        <v>0</v>
      </c>
      <c r="J533" s="26">
        <v>55</v>
      </c>
      <c r="K533" s="26">
        <v>100</v>
      </c>
      <c r="L533" s="26">
        <v>0</v>
      </c>
      <c r="M533" s="26">
        <v>0</v>
      </c>
      <c r="N533" s="26">
        <v>100</v>
      </c>
      <c r="O533" s="285"/>
      <c r="P533" s="202">
        <v>517</v>
      </c>
      <c r="Q533" s="210">
        <v>10</v>
      </c>
      <c r="R533" s="205" t="s">
        <v>446</v>
      </c>
      <c r="S533" s="206" t="s">
        <v>236</v>
      </c>
      <c r="T533" s="211">
        <v>150000</v>
      </c>
      <c r="U533" s="211">
        <v>152490</v>
      </c>
      <c r="V533" s="213">
        <v>152490</v>
      </c>
      <c r="W533" s="213">
        <v>101.66</v>
      </c>
    </row>
    <row r="534" spans="3:23" ht="15" customHeight="1">
      <c r="C534" s="3">
        <v>10</v>
      </c>
      <c r="D534" s="15" t="s">
        <v>401</v>
      </c>
      <c r="E534" s="312" t="s">
        <v>123</v>
      </c>
      <c r="G534" s="26">
        <v>0</v>
      </c>
      <c r="H534" s="26">
        <v>438</v>
      </c>
      <c r="I534" s="26">
        <v>48</v>
      </c>
      <c r="J534" s="26">
        <v>50</v>
      </c>
      <c r="K534" s="26">
        <v>50</v>
      </c>
      <c r="L534" s="26">
        <v>31</v>
      </c>
      <c r="M534" s="26">
        <v>54</v>
      </c>
      <c r="N534" s="26">
        <v>50</v>
      </c>
      <c r="O534" s="285"/>
      <c r="P534" s="202">
        <v>518</v>
      </c>
      <c r="Q534" s="210">
        <v>10</v>
      </c>
      <c r="R534" s="205" t="s">
        <v>447</v>
      </c>
      <c r="S534" s="206" t="s">
        <v>329</v>
      </c>
      <c r="T534" s="211">
        <v>0</v>
      </c>
      <c r="U534" s="211">
        <v>0</v>
      </c>
      <c r="V534" s="213">
        <v>0</v>
      </c>
      <c r="W534" s="213">
        <v>0</v>
      </c>
    </row>
    <row r="535" spans="3:23" ht="15" customHeight="1">
      <c r="C535" s="3">
        <v>10</v>
      </c>
      <c r="D535" s="15" t="s">
        <v>402</v>
      </c>
      <c r="E535" s="312" t="s">
        <v>125</v>
      </c>
      <c r="G535" s="26">
        <v>87</v>
      </c>
      <c r="H535" s="26">
        <v>10</v>
      </c>
      <c r="I535" s="26">
        <v>0</v>
      </c>
      <c r="J535" s="26">
        <v>0</v>
      </c>
      <c r="K535" s="26">
        <v>100</v>
      </c>
      <c r="L535" s="26">
        <v>0</v>
      </c>
      <c r="M535" s="26">
        <v>0</v>
      </c>
      <c r="N535" s="26">
        <v>100</v>
      </c>
      <c r="O535" s="285"/>
      <c r="P535" s="202">
        <v>519</v>
      </c>
      <c r="Q535" s="210">
        <v>10</v>
      </c>
      <c r="R535" s="205" t="s">
        <v>448</v>
      </c>
      <c r="S535" s="206" t="s">
        <v>165</v>
      </c>
      <c r="T535" s="211">
        <v>0</v>
      </c>
      <c r="U535" s="211">
        <v>0</v>
      </c>
      <c r="V535" s="213">
        <v>0</v>
      </c>
      <c r="W535" s="213">
        <v>0</v>
      </c>
    </row>
    <row r="536" spans="3:23" ht="15" customHeight="1">
      <c r="C536" s="3">
        <v>10</v>
      </c>
      <c r="D536" s="15" t="s">
        <v>403</v>
      </c>
      <c r="E536" s="312" t="s">
        <v>106</v>
      </c>
      <c r="G536" s="26">
        <v>0</v>
      </c>
      <c r="H536" s="26">
        <v>22396</v>
      </c>
      <c r="I536" s="26">
        <v>25970</v>
      </c>
      <c r="J536" s="26">
        <v>30290</v>
      </c>
      <c r="K536" s="26">
        <v>27000</v>
      </c>
      <c r="L536" s="26">
        <v>17209</v>
      </c>
      <c r="M536" s="26">
        <v>27000</v>
      </c>
      <c r="N536" s="26">
        <v>27000</v>
      </c>
      <c r="O536" s="285" t="s">
        <v>2925</v>
      </c>
      <c r="P536" s="202">
        <v>520</v>
      </c>
      <c r="Q536" s="210">
        <v>10</v>
      </c>
      <c r="R536" s="205" t="s">
        <v>449</v>
      </c>
      <c r="S536" s="206" t="s">
        <v>167</v>
      </c>
      <c r="T536" s="211">
        <v>500</v>
      </c>
      <c r="U536" s="211">
        <v>0</v>
      </c>
      <c r="V536" s="213">
        <v>0</v>
      </c>
      <c r="W536" s="213">
        <v>0</v>
      </c>
    </row>
    <row r="537" spans="3:23" ht="15" customHeight="1">
      <c r="C537" s="3">
        <v>10</v>
      </c>
      <c r="D537" s="15" t="s">
        <v>404</v>
      </c>
      <c r="E537" s="312" t="s">
        <v>197</v>
      </c>
      <c r="G537" s="26">
        <v>0</v>
      </c>
      <c r="H537" s="26">
        <v>0</v>
      </c>
      <c r="I537" s="26">
        <v>0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85"/>
      <c r="P537" s="202">
        <v>521</v>
      </c>
      <c r="Q537" s="210">
        <v>10</v>
      </c>
      <c r="R537" s="205" t="s">
        <v>450</v>
      </c>
      <c r="S537" s="206" t="s">
        <v>169</v>
      </c>
      <c r="T537" s="211">
        <v>150</v>
      </c>
      <c r="U537" s="211">
        <v>13.63</v>
      </c>
      <c r="V537" s="213">
        <v>99.43</v>
      </c>
      <c r="W537" s="213">
        <v>66.290000000000006</v>
      </c>
    </row>
    <row r="538" spans="3:23" ht="15" customHeight="1">
      <c r="C538" s="3">
        <v>10</v>
      </c>
      <c r="D538" s="15" t="s">
        <v>405</v>
      </c>
      <c r="E538" s="312" t="s">
        <v>128</v>
      </c>
      <c r="G538" s="26">
        <v>0</v>
      </c>
      <c r="H538" s="26">
        <v>0</v>
      </c>
      <c r="I538" s="26">
        <v>0</v>
      </c>
      <c r="J538" s="26">
        <v>0</v>
      </c>
      <c r="K538" s="26">
        <v>0</v>
      </c>
      <c r="L538" s="26">
        <v>37</v>
      </c>
      <c r="M538" s="26">
        <v>37</v>
      </c>
      <c r="N538" s="26">
        <v>0</v>
      </c>
      <c r="O538" s="285"/>
      <c r="P538" s="202">
        <v>522</v>
      </c>
      <c r="Q538" s="210">
        <v>10</v>
      </c>
      <c r="R538" s="205" t="s">
        <v>451</v>
      </c>
      <c r="S538" s="206" t="s">
        <v>171</v>
      </c>
      <c r="T538" s="211">
        <v>14000</v>
      </c>
      <c r="U538" s="211">
        <v>1127.3800000000001</v>
      </c>
      <c r="V538" s="213">
        <v>9766.09</v>
      </c>
      <c r="W538" s="213">
        <v>69.760000000000005</v>
      </c>
    </row>
    <row r="539" spans="3:23" ht="15" customHeight="1">
      <c r="C539" s="3">
        <v>10</v>
      </c>
      <c r="D539" s="15" t="s">
        <v>406</v>
      </c>
      <c r="E539" s="312" t="s">
        <v>200</v>
      </c>
      <c r="G539" s="26">
        <v>1660</v>
      </c>
      <c r="H539" s="26">
        <v>2009</v>
      </c>
      <c r="I539" s="26">
        <v>2437</v>
      </c>
      <c r="J539" s="26">
        <v>3193</v>
      </c>
      <c r="K539" s="26">
        <v>3300</v>
      </c>
      <c r="L539" s="26">
        <v>1467</v>
      </c>
      <c r="M539" s="26">
        <v>2515</v>
      </c>
      <c r="N539" s="26">
        <v>2515</v>
      </c>
      <c r="O539" s="285"/>
      <c r="P539" s="202">
        <v>523</v>
      </c>
      <c r="Q539" s="210">
        <v>10</v>
      </c>
      <c r="R539" s="205" t="s">
        <v>452</v>
      </c>
      <c r="S539" s="206" t="s">
        <v>173</v>
      </c>
      <c r="T539" s="211">
        <v>7000</v>
      </c>
      <c r="U539" s="211">
        <v>1078.57</v>
      </c>
      <c r="V539" s="213">
        <v>2568.94</v>
      </c>
      <c r="W539" s="213">
        <v>36.700000000000003</v>
      </c>
    </row>
    <row r="540" spans="3:23" ht="15" customHeight="1">
      <c r="C540" s="3">
        <v>10</v>
      </c>
      <c r="D540" s="15" t="s">
        <v>407</v>
      </c>
      <c r="E540" s="312" t="s">
        <v>202</v>
      </c>
      <c r="G540" s="26">
        <v>0</v>
      </c>
      <c r="H540" s="26">
        <v>-170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85"/>
      <c r="P540" s="202">
        <v>524</v>
      </c>
      <c r="Q540" s="210">
        <v>10</v>
      </c>
      <c r="R540" s="205" t="s">
        <v>453</v>
      </c>
      <c r="S540" s="206" t="s">
        <v>175</v>
      </c>
      <c r="T540" s="211">
        <v>0</v>
      </c>
      <c r="U540" s="211">
        <v>0</v>
      </c>
      <c r="V540" s="213">
        <v>0</v>
      </c>
      <c r="W540" s="213">
        <v>0</v>
      </c>
    </row>
    <row r="541" spans="3:23" ht="15" customHeight="1">
      <c r="C541" s="3">
        <v>10</v>
      </c>
      <c r="D541" s="15" t="s">
        <v>408</v>
      </c>
      <c r="E541" s="312" t="s">
        <v>130</v>
      </c>
      <c r="G541" s="26">
        <v>40361</v>
      </c>
      <c r="H541" s="26">
        <v>1381</v>
      </c>
      <c r="I541" s="26">
        <v>1747</v>
      </c>
      <c r="J541" s="26">
        <v>2003</v>
      </c>
      <c r="K541" s="26">
        <v>3300</v>
      </c>
      <c r="L541" s="26">
        <v>961</v>
      </c>
      <c r="M541" s="26">
        <v>1700</v>
      </c>
      <c r="N541" s="26">
        <v>2000</v>
      </c>
      <c r="O541" s="285"/>
      <c r="P541" s="202">
        <v>525</v>
      </c>
      <c r="Q541" s="210">
        <v>10</v>
      </c>
      <c r="R541" s="205" t="s">
        <v>454</v>
      </c>
      <c r="S541" s="206" t="s">
        <v>244</v>
      </c>
      <c r="T541" s="211">
        <v>0</v>
      </c>
      <c r="U541" s="211">
        <v>0</v>
      </c>
      <c r="V541" s="213">
        <v>0</v>
      </c>
      <c r="W541" s="213">
        <v>0</v>
      </c>
    </row>
    <row r="542" spans="3:23" ht="15" customHeight="1">
      <c r="C542" s="3">
        <v>10</v>
      </c>
      <c r="D542" s="15" t="s">
        <v>409</v>
      </c>
      <c r="E542" s="312" t="s">
        <v>132</v>
      </c>
      <c r="G542" s="26">
        <v>1515</v>
      </c>
      <c r="H542" s="26">
        <v>2458</v>
      </c>
      <c r="I542" s="26">
        <v>4469</v>
      </c>
      <c r="J542" s="26">
        <v>1577</v>
      </c>
      <c r="K542" s="26">
        <v>2600</v>
      </c>
      <c r="L542" s="26">
        <v>2113</v>
      </c>
      <c r="M542" s="26">
        <v>3623</v>
      </c>
      <c r="N542" s="26">
        <v>2800</v>
      </c>
      <c r="O542" s="285"/>
      <c r="P542" s="202">
        <v>526</v>
      </c>
      <c r="Q542" s="210">
        <v>10</v>
      </c>
      <c r="R542" s="205" t="s">
        <v>2623</v>
      </c>
      <c r="S542" s="206"/>
      <c r="T542" s="211"/>
      <c r="U542" s="211"/>
      <c r="V542" s="213"/>
      <c r="W542" s="213"/>
    </row>
    <row r="543" spans="3:23" ht="15" customHeight="1">
      <c r="C543" s="3">
        <v>10</v>
      </c>
      <c r="D543" s="15" t="s">
        <v>410</v>
      </c>
      <c r="E543" s="312" t="s">
        <v>206</v>
      </c>
      <c r="G543" s="26">
        <v>206</v>
      </c>
      <c r="H543" s="26">
        <v>57</v>
      </c>
      <c r="I543" s="26">
        <v>133</v>
      </c>
      <c r="J543" s="26">
        <v>49</v>
      </c>
      <c r="K543" s="26">
        <v>75</v>
      </c>
      <c r="L543" s="26">
        <v>27</v>
      </c>
      <c r="M543" s="26">
        <v>47</v>
      </c>
      <c r="N543" s="26">
        <v>75</v>
      </c>
      <c r="O543" s="285"/>
      <c r="P543" s="202">
        <v>527</v>
      </c>
      <c r="Q543" s="210">
        <v>10</v>
      </c>
      <c r="R543" s="205" t="s">
        <v>163</v>
      </c>
      <c r="S543" s="206"/>
      <c r="T543" s="211">
        <v>194300</v>
      </c>
      <c r="U543" s="211">
        <v>156209.17000000001</v>
      </c>
      <c r="V543" s="213">
        <v>177843.74</v>
      </c>
      <c r="W543" s="213">
        <v>0</v>
      </c>
    </row>
    <row r="544" spans="3:23" ht="15" customHeight="1">
      <c r="C544" s="3">
        <v>10</v>
      </c>
      <c r="D544" s="15" t="s">
        <v>411</v>
      </c>
      <c r="E544" s="312" t="s">
        <v>208</v>
      </c>
      <c r="G544" s="26">
        <v>139</v>
      </c>
      <c r="H544" s="26">
        <v>367</v>
      </c>
      <c r="I544" s="26">
        <v>730</v>
      </c>
      <c r="J544" s="26">
        <v>953</v>
      </c>
      <c r="K544" s="26">
        <v>0</v>
      </c>
      <c r="L544" s="26">
        <v>0</v>
      </c>
      <c r="M544" s="26">
        <v>0</v>
      </c>
      <c r="N544" s="26">
        <v>0</v>
      </c>
      <c r="O544" s="285"/>
      <c r="P544" s="202">
        <v>528</v>
      </c>
      <c r="Q544" s="210">
        <v>10</v>
      </c>
      <c r="R544" s="205" t="s">
        <v>245</v>
      </c>
      <c r="S544" s="206"/>
      <c r="T544" s="211"/>
      <c r="U544" s="211"/>
      <c r="V544" s="213"/>
      <c r="W544" s="213"/>
    </row>
    <row r="545" spans="1:23" ht="15" customHeight="1">
      <c r="C545" s="3">
        <v>10</v>
      </c>
      <c r="D545" s="15" t="s">
        <v>412</v>
      </c>
      <c r="E545" s="312" t="s">
        <v>210</v>
      </c>
      <c r="G545" s="26">
        <v>0</v>
      </c>
      <c r="H545" s="26">
        <v>81</v>
      </c>
      <c r="I545" s="26">
        <v>16</v>
      </c>
      <c r="J545" s="26">
        <v>17</v>
      </c>
      <c r="K545" s="26">
        <v>0</v>
      </c>
      <c r="L545" s="26">
        <v>0</v>
      </c>
      <c r="M545" s="26">
        <v>0</v>
      </c>
      <c r="N545" s="26">
        <v>0</v>
      </c>
      <c r="O545" s="285"/>
      <c r="P545" s="202">
        <v>529</v>
      </c>
      <c r="Q545" s="210">
        <v>10</v>
      </c>
      <c r="R545" s="205" t="s">
        <v>2628</v>
      </c>
      <c r="S545" s="206"/>
      <c r="T545" s="211"/>
      <c r="U545" s="211"/>
      <c r="V545" s="213"/>
      <c r="W545" s="213"/>
    </row>
    <row r="546" spans="1:23" ht="15" customHeight="1">
      <c r="C546" s="3">
        <v>10</v>
      </c>
      <c r="D546" s="15" t="s">
        <v>413</v>
      </c>
      <c r="E546" s="312" t="s">
        <v>134</v>
      </c>
      <c r="G546" s="26">
        <v>0</v>
      </c>
      <c r="H546" s="26">
        <v>0</v>
      </c>
      <c r="I546" s="26">
        <v>0</v>
      </c>
      <c r="J546" s="26">
        <v>0</v>
      </c>
      <c r="K546" s="26">
        <v>0</v>
      </c>
      <c r="L546" s="26">
        <v>0</v>
      </c>
      <c r="M546" s="26">
        <v>0</v>
      </c>
      <c r="N546" s="26">
        <v>0</v>
      </c>
      <c r="O546" s="285"/>
      <c r="P546" s="202">
        <v>530</v>
      </c>
      <c r="Q546" s="210">
        <v>10</v>
      </c>
      <c r="R546" s="205" t="s">
        <v>455</v>
      </c>
      <c r="S546" s="206" t="s">
        <v>435</v>
      </c>
      <c r="T546" s="211">
        <v>0</v>
      </c>
      <c r="U546" s="211">
        <v>0</v>
      </c>
      <c r="V546" s="213">
        <v>0</v>
      </c>
      <c r="W546" s="213">
        <v>0</v>
      </c>
    </row>
    <row r="547" spans="1:23" ht="15" customHeight="1">
      <c r="C547" s="3">
        <v>10</v>
      </c>
      <c r="D547" s="15" t="s">
        <v>414</v>
      </c>
      <c r="E547" s="312" t="s">
        <v>213</v>
      </c>
      <c r="G547" s="26">
        <v>0</v>
      </c>
      <c r="H547" s="26">
        <v>225</v>
      </c>
      <c r="I547" s="26">
        <v>0</v>
      </c>
      <c r="J547" s="26">
        <v>0</v>
      </c>
      <c r="K547" s="26">
        <v>0</v>
      </c>
      <c r="L547" s="26">
        <v>0</v>
      </c>
      <c r="M547" s="26">
        <v>0</v>
      </c>
      <c r="N547" s="26">
        <v>0</v>
      </c>
      <c r="O547" s="285"/>
      <c r="P547" s="202">
        <v>531</v>
      </c>
      <c r="Q547" s="210">
        <v>10</v>
      </c>
      <c r="R547" s="205" t="s">
        <v>456</v>
      </c>
      <c r="S547" s="206" t="s">
        <v>329</v>
      </c>
      <c r="T547" s="211">
        <v>45000</v>
      </c>
      <c r="U547" s="211">
        <v>0</v>
      </c>
      <c r="V547" s="213">
        <v>0</v>
      </c>
      <c r="W547" s="213">
        <v>0</v>
      </c>
    </row>
    <row r="548" spans="1:23" ht="15" customHeight="1">
      <c r="G548" s="26"/>
      <c r="H548" s="26"/>
      <c r="I548" s="26"/>
      <c r="J548" s="26"/>
      <c r="K548" s="26"/>
      <c r="L548" s="26"/>
      <c r="M548" s="26"/>
      <c r="N548" s="26"/>
      <c r="P548" s="202">
        <v>532</v>
      </c>
      <c r="Q548" s="210">
        <v>10</v>
      </c>
      <c r="R548" s="205" t="s">
        <v>457</v>
      </c>
      <c r="S548" s="206" t="s">
        <v>165</v>
      </c>
      <c r="T548" s="211">
        <v>0</v>
      </c>
      <c r="U548" s="211">
        <v>0</v>
      </c>
      <c r="V548" s="213">
        <v>0</v>
      </c>
      <c r="W548" s="213">
        <v>0</v>
      </c>
    </row>
    <row r="549" spans="1:23" s="200" customFormat="1" ht="15" customHeight="1">
      <c r="A549" s="196" t="s">
        <v>104</v>
      </c>
      <c r="B549" s="196" t="s">
        <v>2317</v>
      </c>
      <c r="C549" s="75"/>
      <c r="D549" s="323" t="s">
        <v>2056</v>
      </c>
      <c r="E549" s="323"/>
      <c r="F549" s="324"/>
      <c r="G549" s="325">
        <f>SUM(G528:G548)</f>
        <v>44121</v>
      </c>
      <c r="H549" s="325">
        <f t="shared" ref="H549:N549" si="59">SUM(H528:H548)</f>
        <v>29344</v>
      </c>
      <c r="I549" s="325">
        <f t="shared" si="59"/>
        <v>35595</v>
      </c>
      <c r="J549" s="325">
        <f t="shared" si="59"/>
        <v>38423</v>
      </c>
      <c r="K549" s="325">
        <f t="shared" si="59"/>
        <v>36770</v>
      </c>
      <c r="L549" s="325">
        <f t="shared" si="59"/>
        <v>21975</v>
      </c>
      <c r="M549" s="325">
        <f t="shared" si="59"/>
        <v>35200</v>
      </c>
      <c r="N549" s="325">
        <f t="shared" si="59"/>
        <v>34890</v>
      </c>
      <c r="O549" s="287"/>
      <c r="P549" s="202">
        <v>533</v>
      </c>
      <c r="Q549" s="210">
        <v>10</v>
      </c>
      <c r="R549" s="205" t="s">
        <v>458</v>
      </c>
      <c r="S549" s="206" t="s">
        <v>167</v>
      </c>
      <c r="T549" s="211">
        <v>0</v>
      </c>
      <c r="U549" s="211">
        <v>0</v>
      </c>
      <c r="V549" s="213">
        <v>0</v>
      </c>
      <c r="W549" s="213">
        <v>0</v>
      </c>
    </row>
    <row r="550" spans="1:23" s="46" customFormat="1" ht="15" customHeight="1">
      <c r="A550" s="2"/>
      <c r="B550" s="2"/>
      <c r="C550" s="3"/>
      <c r="D550" s="47"/>
      <c r="E550" s="47"/>
      <c r="F550" s="191"/>
      <c r="G550" s="48"/>
      <c r="H550" s="48"/>
      <c r="I550" s="48"/>
      <c r="J550" s="48"/>
      <c r="K550" s="48"/>
      <c r="L550" s="48"/>
      <c r="M550" s="48"/>
      <c r="N550" s="48"/>
      <c r="O550" s="289"/>
      <c r="P550" s="202">
        <v>534</v>
      </c>
      <c r="Q550" s="210">
        <v>10</v>
      </c>
      <c r="R550" s="205" t="s">
        <v>459</v>
      </c>
      <c r="S550" s="206" t="s">
        <v>247</v>
      </c>
      <c r="T550" s="211">
        <v>0</v>
      </c>
      <c r="U550" s="211">
        <v>0</v>
      </c>
      <c r="V550" s="213">
        <v>0</v>
      </c>
      <c r="W550" s="213">
        <v>0</v>
      </c>
    </row>
    <row r="551" spans="1:23" ht="15" customHeight="1">
      <c r="D551" s="47" t="s">
        <v>2057</v>
      </c>
      <c r="G551" s="26"/>
      <c r="H551" s="26"/>
      <c r="I551" s="26"/>
      <c r="J551" s="26"/>
      <c r="K551" s="26"/>
      <c r="L551" s="26"/>
      <c r="M551" s="26"/>
      <c r="N551" s="26"/>
      <c r="P551" s="202">
        <v>535</v>
      </c>
      <c r="Q551" s="210">
        <v>10</v>
      </c>
      <c r="R551" s="205" t="s">
        <v>460</v>
      </c>
      <c r="S551" s="206" t="s">
        <v>461</v>
      </c>
      <c r="T551" s="211">
        <v>-48000</v>
      </c>
      <c r="U551" s="211">
        <v>0</v>
      </c>
      <c r="V551" s="213">
        <v>0</v>
      </c>
      <c r="W551" s="213">
        <v>0</v>
      </c>
    </row>
    <row r="552" spans="1:23" ht="15" customHeight="1">
      <c r="G552" s="26"/>
      <c r="H552" s="26"/>
      <c r="I552" s="26"/>
      <c r="J552" s="26"/>
      <c r="K552" s="26"/>
      <c r="L552" s="26"/>
      <c r="M552" s="26"/>
      <c r="N552" s="26"/>
      <c r="P552" s="202">
        <v>536</v>
      </c>
      <c r="Q552" s="210">
        <v>10</v>
      </c>
      <c r="R552" s="205" t="s">
        <v>462</v>
      </c>
      <c r="S552" s="206" t="s">
        <v>382</v>
      </c>
      <c r="T552" s="211">
        <v>60000</v>
      </c>
      <c r="U552" s="211">
        <v>0</v>
      </c>
      <c r="V552" s="213">
        <v>59946.77</v>
      </c>
      <c r="W552" s="213">
        <v>99.91</v>
      </c>
    </row>
    <row r="553" spans="1:23" ht="15" customHeight="1">
      <c r="C553" s="3">
        <v>10</v>
      </c>
      <c r="D553" s="15" t="s">
        <v>415</v>
      </c>
      <c r="E553" s="312" t="s">
        <v>137</v>
      </c>
      <c r="G553" s="26">
        <v>1486</v>
      </c>
      <c r="H553" s="26">
        <v>1533</v>
      </c>
      <c r="I553" s="26">
        <v>1913</v>
      </c>
      <c r="J553" s="26">
        <v>1720</v>
      </c>
      <c r="K553" s="26">
        <v>1650</v>
      </c>
      <c r="L553" s="26">
        <v>1020</v>
      </c>
      <c r="M553" s="26">
        <v>1750</v>
      </c>
      <c r="N553" s="26">
        <v>1780</v>
      </c>
      <c r="O553" s="285"/>
      <c r="P553" s="202">
        <v>537</v>
      </c>
      <c r="Q553" s="210">
        <v>10</v>
      </c>
      <c r="R553" s="205" t="s">
        <v>463</v>
      </c>
      <c r="S553" s="206" t="s">
        <v>173</v>
      </c>
      <c r="T553" s="211">
        <v>0</v>
      </c>
      <c r="U553" s="211">
        <v>0</v>
      </c>
      <c r="V553" s="213">
        <v>0</v>
      </c>
      <c r="W553" s="213">
        <v>0</v>
      </c>
    </row>
    <row r="554" spans="1:23" ht="15" customHeight="1">
      <c r="C554" s="3">
        <v>10</v>
      </c>
      <c r="D554" s="15" t="s">
        <v>416</v>
      </c>
      <c r="E554" s="312" t="s">
        <v>216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85"/>
      <c r="P554" s="202">
        <v>538</v>
      </c>
      <c r="Q554" s="210">
        <v>10</v>
      </c>
      <c r="R554" s="205" t="s">
        <v>2623</v>
      </c>
      <c r="S554" s="206"/>
      <c r="T554" s="211"/>
      <c r="U554" s="211"/>
      <c r="V554" s="213"/>
      <c r="W554" s="213"/>
    </row>
    <row r="555" spans="1:23" ht="15" customHeight="1">
      <c r="C555" s="3">
        <v>10</v>
      </c>
      <c r="D555" s="15" t="s">
        <v>417</v>
      </c>
      <c r="E555" s="312" t="s">
        <v>139</v>
      </c>
      <c r="G555" s="26">
        <v>549</v>
      </c>
      <c r="H555" s="26">
        <v>444</v>
      </c>
      <c r="I555" s="26">
        <v>457</v>
      </c>
      <c r="J555" s="26">
        <v>286</v>
      </c>
      <c r="K555" s="26">
        <v>2000</v>
      </c>
      <c r="L555" s="26">
        <v>396</v>
      </c>
      <c r="M555" s="26">
        <v>679</v>
      </c>
      <c r="N555" s="26">
        <v>2000</v>
      </c>
      <c r="O555" s="285"/>
      <c r="P555" s="202">
        <v>539</v>
      </c>
      <c r="Q555" s="210">
        <v>10</v>
      </c>
      <c r="R555" s="205" t="s">
        <v>245</v>
      </c>
      <c r="S555" s="206"/>
      <c r="T555" s="211">
        <v>57000</v>
      </c>
      <c r="U555" s="211">
        <v>0</v>
      </c>
      <c r="V555" s="213">
        <v>59946.77</v>
      </c>
      <c r="W555" s="213">
        <v>0</v>
      </c>
    </row>
    <row r="556" spans="1:23" ht="15" customHeight="1">
      <c r="C556" s="3">
        <v>10</v>
      </c>
      <c r="D556" s="15" t="s">
        <v>418</v>
      </c>
      <c r="E556" s="312" t="s">
        <v>419</v>
      </c>
      <c r="G556" s="26">
        <v>0</v>
      </c>
      <c r="H556" s="26">
        <v>15750</v>
      </c>
      <c r="I556" s="26">
        <v>15750</v>
      </c>
      <c r="J556" s="26">
        <v>15750</v>
      </c>
      <c r="K556" s="26">
        <v>15750</v>
      </c>
      <c r="L556" s="26">
        <v>0</v>
      </c>
      <c r="M556" s="26">
        <v>15750</v>
      </c>
      <c r="N556" s="26">
        <v>12000</v>
      </c>
      <c r="O556" s="285"/>
      <c r="P556" s="202">
        <v>540</v>
      </c>
      <c r="Q556" s="210">
        <v>10</v>
      </c>
      <c r="R556" s="205" t="s">
        <v>2623</v>
      </c>
      <c r="S556" s="206"/>
      <c r="T556" s="211"/>
      <c r="U556" s="211"/>
      <c r="V556" s="213"/>
      <c r="W556" s="213"/>
    </row>
    <row r="557" spans="1:23" ht="15" customHeight="1">
      <c r="C557" s="3">
        <v>10</v>
      </c>
      <c r="D557" s="15" t="s">
        <v>420</v>
      </c>
      <c r="E557" s="312" t="s">
        <v>141</v>
      </c>
      <c r="G557" s="26">
        <v>0</v>
      </c>
      <c r="H557" s="26">
        <v>0</v>
      </c>
      <c r="I557" s="26">
        <v>0</v>
      </c>
      <c r="J557" s="26">
        <v>0</v>
      </c>
      <c r="K557" s="26">
        <v>0</v>
      </c>
      <c r="L557" s="26">
        <v>0</v>
      </c>
      <c r="M557" s="26">
        <v>0</v>
      </c>
      <c r="N557" s="26">
        <v>0</v>
      </c>
      <c r="O557" s="285"/>
      <c r="P557" s="202">
        <v>541</v>
      </c>
      <c r="Q557" s="210">
        <v>10</v>
      </c>
      <c r="R557" s="205" t="s">
        <v>6</v>
      </c>
      <c r="S557" s="206"/>
      <c r="T557" s="211">
        <v>679422</v>
      </c>
      <c r="U557" s="211">
        <v>188962.47</v>
      </c>
      <c r="V557" s="213">
        <v>522239.7</v>
      </c>
      <c r="W557" s="213">
        <v>76.87</v>
      </c>
    </row>
    <row r="558" spans="1:23" ht="15" customHeight="1">
      <c r="C558" s="3">
        <v>10</v>
      </c>
      <c r="D558" s="15" t="s">
        <v>421</v>
      </c>
      <c r="E558" s="312" t="s">
        <v>143</v>
      </c>
      <c r="G558" s="26">
        <v>4038</v>
      </c>
      <c r="H558" s="26">
        <v>6079</v>
      </c>
      <c r="I558" s="26">
        <v>2555</v>
      </c>
      <c r="J558" s="26">
        <v>2744</v>
      </c>
      <c r="K558" s="26">
        <v>2500</v>
      </c>
      <c r="L558" s="26">
        <v>1207</v>
      </c>
      <c r="M558" s="26">
        <v>2070</v>
      </c>
      <c r="N558" s="26">
        <v>3000</v>
      </c>
      <c r="O558" s="285" t="s">
        <v>2926</v>
      </c>
      <c r="P558" s="202">
        <v>542</v>
      </c>
      <c r="Q558" s="210">
        <v>10</v>
      </c>
      <c r="R558" s="205" t="s">
        <v>2621</v>
      </c>
      <c r="S558" s="206"/>
      <c r="T558" s="211"/>
      <c r="U558" s="211"/>
      <c r="V558" s="213"/>
      <c r="W558" s="213"/>
    </row>
    <row r="559" spans="1:23" ht="15" customHeight="1">
      <c r="C559" s="3">
        <v>10</v>
      </c>
      <c r="D559" s="15" t="s">
        <v>422</v>
      </c>
      <c r="E559" s="312" t="s">
        <v>145</v>
      </c>
      <c r="G559" s="26">
        <v>0</v>
      </c>
      <c r="H559" s="26">
        <v>0</v>
      </c>
      <c r="I559" s="26">
        <v>0</v>
      </c>
      <c r="J559" s="26">
        <v>0</v>
      </c>
      <c r="K559" s="26">
        <v>0</v>
      </c>
      <c r="L559" s="26">
        <v>0</v>
      </c>
      <c r="M559" s="26">
        <v>0</v>
      </c>
      <c r="N559" s="26">
        <v>0</v>
      </c>
      <c r="O559" s="285"/>
      <c r="P559" s="202">
        <v>543</v>
      </c>
      <c r="Q559" s="210">
        <v>10</v>
      </c>
      <c r="R559" s="205" t="s">
        <v>2622</v>
      </c>
      <c r="S559" s="206"/>
      <c r="T559" s="211"/>
      <c r="U559" s="211"/>
      <c r="V559" s="213"/>
      <c r="W559" s="213"/>
    </row>
    <row r="560" spans="1:23" ht="15" customHeight="1">
      <c r="C560" s="3">
        <v>10</v>
      </c>
      <c r="D560" s="15" t="s">
        <v>423</v>
      </c>
      <c r="E560" s="312" t="s">
        <v>147</v>
      </c>
      <c r="G560" s="26">
        <v>14</v>
      </c>
      <c r="H560" s="26">
        <v>15</v>
      </c>
      <c r="I560" s="26">
        <v>0</v>
      </c>
      <c r="J560" s="26">
        <v>0</v>
      </c>
      <c r="K560" s="26">
        <v>100</v>
      </c>
      <c r="L560" s="26">
        <v>7</v>
      </c>
      <c r="M560" s="26">
        <v>12</v>
      </c>
      <c r="N560" s="26">
        <v>100</v>
      </c>
      <c r="O560" s="285"/>
      <c r="P560" s="202">
        <v>544</v>
      </c>
      <c r="Q560" s="210">
        <v>10</v>
      </c>
      <c r="R560" s="205" t="s">
        <v>464</v>
      </c>
      <c r="S560" s="206" t="s">
        <v>79</v>
      </c>
      <c r="T560" s="211">
        <v>107117</v>
      </c>
      <c r="U560" s="211">
        <v>8858</v>
      </c>
      <c r="V560" s="213">
        <v>79214.600000000006</v>
      </c>
      <c r="W560" s="213">
        <v>73.95</v>
      </c>
    </row>
    <row r="561" spans="1:23" ht="15" customHeight="1">
      <c r="C561" s="3">
        <v>10</v>
      </c>
      <c r="D561" s="15" t="s">
        <v>424</v>
      </c>
      <c r="E561" s="312" t="s">
        <v>149</v>
      </c>
      <c r="G561" s="26">
        <v>867</v>
      </c>
      <c r="H561" s="26">
        <v>1205</v>
      </c>
      <c r="I561" s="26">
        <v>1436</v>
      </c>
      <c r="J561" s="26">
        <v>1418</v>
      </c>
      <c r="K561" s="26">
        <v>1000</v>
      </c>
      <c r="L561" s="26">
        <v>297</v>
      </c>
      <c r="M561" s="26">
        <v>510</v>
      </c>
      <c r="N561" s="26">
        <v>1000</v>
      </c>
      <c r="O561" s="285"/>
      <c r="P561" s="202">
        <v>545</v>
      </c>
      <c r="Q561" s="210">
        <v>10</v>
      </c>
      <c r="R561" s="205" t="s">
        <v>465</v>
      </c>
      <c r="S561" s="206" t="s">
        <v>81</v>
      </c>
      <c r="T561" s="211">
        <v>19977</v>
      </c>
      <c r="U561" s="211">
        <v>1664.76</v>
      </c>
      <c r="V561" s="213">
        <v>13040.62</v>
      </c>
      <c r="W561" s="213">
        <v>65.28</v>
      </c>
    </row>
    <row r="562" spans="1:23" ht="15" customHeight="1">
      <c r="C562" s="3">
        <v>10</v>
      </c>
      <c r="D562" s="15" t="s">
        <v>425</v>
      </c>
      <c r="E562" s="312" t="s">
        <v>151</v>
      </c>
      <c r="G562" s="26">
        <v>0</v>
      </c>
      <c r="H562" s="26">
        <v>0</v>
      </c>
      <c r="I562" s="26">
        <v>0</v>
      </c>
      <c r="J562" s="26">
        <v>0</v>
      </c>
      <c r="K562" s="26">
        <v>0</v>
      </c>
      <c r="L562" s="26">
        <v>0</v>
      </c>
      <c r="M562" s="26">
        <v>0</v>
      </c>
      <c r="N562" s="26">
        <v>0</v>
      </c>
      <c r="O562" s="285"/>
      <c r="P562" s="202">
        <v>546</v>
      </c>
      <c r="Q562" s="210">
        <v>10</v>
      </c>
      <c r="R562" s="205" t="s">
        <v>466</v>
      </c>
      <c r="S562" s="206" t="s">
        <v>83</v>
      </c>
      <c r="T562" s="211">
        <v>0</v>
      </c>
      <c r="U562" s="211">
        <v>0</v>
      </c>
      <c r="V562" s="213">
        <v>0</v>
      </c>
      <c r="W562" s="213">
        <v>0</v>
      </c>
    </row>
    <row r="563" spans="1:23" ht="15" customHeight="1">
      <c r="C563" s="3">
        <v>10</v>
      </c>
      <c r="D563" s="15" t="s">
        <v>426</v>
      </c>
      <c r="E563" s="312" t="s">
        <v>153</v>
      </c>
      <c r="G563" s="26">
        <v>59</v>
      </c>
      <c r="H563" s="26">
        <v>10</v>
      </c>
      <c r="I563" s="26">
        <v>0</v>
      </c>
      <c r="J563" s="26">
        <v>44</v>
      </c>
      <c r="K563" s="26">
        <v>0</v>
      </c>
      <c r="L563" s="26">
        <v>40</v>
      </c>
      <c r="M563" s="26">
        <v>40</v>
      </c>
      <c r="N563" s="26">
        <v>0</v>
      </c>
      <c r="O563" s="285"/>
      <c r="P563" s="202">
        <v>547</v>
      </c>
      <c r="Q563" s="210">
        <v>10</v>
      </c>
      <c r="R563" s="205" t="s">
        <v>467</v>
      </c>
      <c r="S563" s="206" t="s">
        <v>85</v>
      </c>
      <c r="T563" s="211">
        <v>704</v>
      </c>
      <c r="U563" s="211">
        <v>0</v>
      </c>
      <c r="V563" s="213">
        <v>896.97</v>
      </c>
      <c r="W563" s="213">
        <v>127.41</v>
      </c>
    </row>
    <row r="564" spans="1:23" ht="15" customHeight="1">
      <c r="C564" s="3">
        <v>10</v>
      </c>
      <c r="D564" s="15" t="s">
        <v>427</v>
      </c>
      <c r="E564" s="312" t="s">
        <v>155</v>
      </c>
      <c r="G564" s="26">
        <v>0</v>
      </c>
      <c r="H564" s="26">
        <v>0</v>
      </c>
      <c r="I564" s="26">
        <v>0</v>
      </c>
      <c r="J564" s="26">
        <v>0</v>
      </c>
      <c r="K564" s="26">
        <v>0</v>
      </c>
      <c r="L564" s="26">
        <v>0</v>
      </c>
      <c r="M564" s="26">
        <v>0</v>
      </c>
      <c r="N564" s="26">
        <v>0</v>
      </c>
      <c r="O564" s="285"/>
      <c r="P564" s="202">
        <v>548</v>
      </c>
      <c r="Q564" s="210">
        <v>10</v>
      </c>
      <c r="R564" s="205" t="s">
        <v>468</v>
      </c>
      <c r="S564" s="206" t="s">
        <v>87</v>
      </c>
      <c r="T564" s="211">
        <v>8216</v>
      </c>
      <c r="U564" s="211">
        <v>671.55</v>
      </c>
      <c r="V564" s="213">
        <v>6048.36</v>
      </c>
      <c r="W564" s="213">
        <v>73.62</v>
      </c>
    </row>
    <row r="565" spans="1:23" ht="15" customHeight="1">
      <c r="C565" s="3">
        <v>10</v>
      </c>
      <c r="D565" s="15" t="s">
        <v>428</v>
      </c>
      <c r="E565" s="312" t="s">
        <v>157</v>
      </c>
      <c r="G565" s="26">
        <v>0</v>
      </c>
      <c r="H565" s="26">
        <v>0</v>
      </c>
      <c r="I565" s="26">
        <v>0</v>
      </c>
      <c r="J565" s="26">
        <v>0</v>
      </c>
      <c r="K565" s="26">
        <v>0</v>
      </c>
      <c r="L565" s="26">
        <v>0</v>
      </c>
      <c r="M565" s="26">
        <v>0</v>
      </c>
      <c r="N565" s="26">
        <v>0</v>
      </c>
      <c r="O565" s="285"/>
      <c r="P565" s="202">
        <v>549</v>
      </c>
      <c r="Q565" s="210">
        <v>10</v>
      </c>
      <c r="R565" s="205" t="s">
        <v>469</v>
      </c>
      <c r="S565" s="206" t="s">
        <v>89</v>
      </c>
      <c r="T565" s="211">
        <v>17203</v>
      </c>
      <c r="U565" s="211">
        <v>1464.12</v>
      </c>
      <c r="V565" s="213">
        <v>13086.81</v>
      </c>
      <c r="W565" s="213">
        <v>76.069999999999993</v>
      </c>
    </row>
    <row r="566" spans="1:23" ht="15" customHeight="1">
      <c r="C566" s="3">
        <v>10</v>
      </c>
      <c r="D566" s="15" t="s">
        <v>429</v>
      </c>
      <c r="E566" s="312" t="s">
        <v>159</v>
      </c>
      <c r="G566" s="26">
        <v>17639</v>
      </c>
      <c r="H566" s="26">
        <v>18730</v>
      </c>
      <c r="I566" s="26">
        <v>19821</v>
      </c>
      <c r="J566" s="26">
        <v>42284</v>
      </c>
      <c r="K566" s="26">
        <v>49807</v>
      </c>
      <c r="L566" s="26">
        <v>32575</v>
      </c>
      <c r="M566" s="26">
        <f>32938*1.33</f>
        <v>43807.54</v>
      </c>
      <c r="N566" s="26">
        <v>90152</v>
      </c>
      <c r="O566" s="285"/>
      <c r="P566" s="202">
        <v>550</v>
      </c>
      <c r="Q566" s="210">
        <v>10</v>
      </c>
      <c r="R566" s="205" t="s">
        <v>470</v>
      </c>
      <c r="S566" s="206" t="s">
        <v>536</v>
      </c>
      <c r="T566" s="211">
        <v>0</v>
      </c>
      <c r="U566" s="211">
        <v>0</v>
      </c>
      <c r="V566" s="213">
        <v>0</v>
      </c>
      <c r="W566" s="213">
        <v>0</v>
      </c>
    </row>
    <row r="567" spans="1:23" ht="15" customHeight="1">
      <c r="C567" s="3">
        <v>10</v>
      </c>
      <c r="D567" s="15" t="s">
        <v>430</v>
      </c>
      <c r="E567" s="312" t="s">
        <v>229</v>
      </c>
      <c r="G567" s="26">
        <v>4964</v>
      </c>
      <c r="H567" s="26">
        <v>5207</v>
      </c>
      <c r="I567" s="26">
        <v>5451</v>
      </c>
      <c r="J567" s="26">
        <v>13434</v>
      </c>
      <c r="K567" s="26">
        <v>3176</v>
      </c>
      <c r="L567" s="26">
        <v>8394</v>
      </c>
      <c r="M567" s="26">
        <f>8475*1.33</f>
        <v>11271.75</v>
      </c>
      <c r="N567" s="26">
        <v>10258</v>
      </c>
      <c r="O567" s="285">
        <v>100410</v>
      </c>
      <c r="P567" s="202">
        <v>551</v>
      </c>
      <c r="Q567" s="210">
        <v>10</v>
      </c>
      <c r="R567" s="205" t="s">
        <v>471</v>
      </c>
      <c r="S567" s="206" t="s">
        <v>91</v>
      </c>
      <c r="T567" s="211">
        <v>1000</v>
      </c>
      <c r="U567" s="211">
        <v>109.86</v>
      </c>
      <c r="V567" s="213">
        <v>276.31</v>
      </c>
      <c r="W567" s="213">
        <v>27.63</v>
      </c>
    </row>
    <row r="568" spans="1:23" ht="15" customHeight="1">
      <c r="C568" s="3">
        <v>10</v>
      </c>
      <c r="D568" s="15" t="s">
        <v>431</v>
      </c>
      <c r="E568" s="312" t="s">
        <v>162</v>
      </c>
      <c r="G568" s="26">
        <v>348</v>
      </c>
      <c r="H568" s="26">
        <v>166</v>
      </c>
      <c r="I568" s="26">
        <v>93</v>
      </c>
      <c r="J568" s="26">
        <v>209</v>
      </c>
      <c r="K568" s="26">
        <v>250</v>
      </c>
      <c r="L568" s="26">
        <v>260</v>
      </c>
      <c r="M568" s="26">
        <v>750</v>
      </c>
      <c r="N568" s="26">
        <v>250</v>
      </c>
      <c r="O568" s="285"/>
      <c r="P568" s="202">
        <v>552</v>
      </c>
      <c r="Q568" s="210">
        <v>10</v>
      </c>
      <c r="R568" s="205" t="s">
        <v>472</v>
      </c>
      <c r="S568" s="206" t="s">
        <v>93</v>
      </c>
      <c r="T568" s="211">
        <v>0</v>
      </c>
      <c r="U568" s="211">
        <v>0</v>
      </c>
      <c r="V568" s="213">
        <v>0</v>
      </c>
      <c r="W568" s="213">
        <v>0</v>
      </c>
    </row>
    <row r="569" spans="1:23" ht="15" customHeight="1">
      <c r="G569" s="26"/>
      <c r="H569" s="26"/>
      <c r="I569" s="26"/>
      <c r="J569" s="26"/>
      <c r="K569" s="26"/>
      <c r="L569" s="26"/>
      <c r="M569" s="26"/>
      <c r="N569" s="26"/>
      <c r="O569" s="293"/>
      <c r="P569" s="202">
        <v>553</v>
      </c>
      <c r="Q569" s="210">
        <v>10</v>
      </c>
      <c r="R569" s="205" t="s">
        <v>473</v>
      </c>
      <c r="S569" s="206" t="s">
        <v>95</v>
      </c>
      <c r="T569" s="211">
        <v>0</v>
      </c>
      <c r="U569" s="211">
        <v>0</v>
      </c>
      <c r="V569" s="213">
        <v>0</v>
      </c>
      <c r="W569" s="213">
        <v>0</v>
      </c>
    </row>
    <row r="570" spans="1:23" s="22" customFormat="1" ht="15" customHeight="1">
      <c r="A570" s="2" t="s">
        <v>135</v>
      </c>
      <c r="B570" s="2" t="s">
        <v>2317</v>
      </c>
      <c r="C570" s="3"/>
      <c r="D570" s="323" t="s">
        <v>2058</v>
      </c>
      <c r="E570" s="323"/>
      <c r="F570" s="324"/>
      <c r="G570" s="325">
        <f>SUM(G551:G569)</f>
        <v>29964</v>
      </c>
      <c r="H570" s="325">
        <f t="shared" ref="H570:N570" si="60">SUM(H551:H569)</f>
        <v>49139</v>
      </c>
      <c r="I570" s="325">
        <f t="shared" si="60"/>
        <v>47476</v>
      </c>
      <c r="J570" s="325">
        <f t="shared" si="60"/>
        <v>77889</v>
      </c>
      <c r="K570" s="325">
        <f t="shared" si="60"/>
        <v>76233</v>
      </c>
      <c r="L570" s="325">
        <f t="shared" si="60"/>
        <v>44196</v>
      </c>
      <c r="M570" s="325">
        <f t="shared" si="60"/>
        <v>76640.290000000008</v>
      </c>
      <c r="N570" s="325">
        <f t="shared" si="60"/>
        <v>120540</v>
      </c>
      <c r="O570" s="290"/>
      <c r="P570" s="202">
        <v>554</v>
      </c>
      <c r="Q570" s="210">
        <v>10</v>
      </c>
      <c r="R570" s="205" t="s">
        <v>474</v>
      </c>
      <c r="S570" s="206" t="s">
        <v>97</v>
      </c>
      <c r="T570" s="211">
        <v>1456</v>
      </c>
      <c r="U570" s="211">
        <v>20</v>
      </c>
      <c r="V570" s="213">
        <v>538</v>
      </c>
      <c r="W570" s="213">
        <v>36.950000000000003</v>
      </c>
    </row>
    <row r="571" spans="1:23" s="46" customFormat="1" ht="15" customHeight="1">
      <c r="A571" s="2"/>
      <c r="B571" s="2"/>
      <c r="C571" s="3"/>
      <c r="D571" s="47"/>
      <c r="E571" s="47"/>
      <c r="F571" s="191"/>
      <c r="G571" s="48"/>
      <c r="H571" s="48"/>
      <c r="I571" s="48"/>
      <c r="J571" s="48"/>
      <c r="K571" s="48"/>
      <c r="L571" s="48"/>
      <c r="M571" s="48"/>
      <c r="N571" s="48"/>
      <c r="O571" s="289"/>
      <c r="P571" s="202">
        <v>555</v>
      </c>
      <c r="Q571" s="210">
        <v>10</v>
      </c>
      <c r="R571" s="205" t="s">
        <v>475</v>
      </c>
      <c r="S571" s="206" t="s">
        <v>99</v>
      </c>
      <c r="T571" s="211">
        <v>177</v>
      </c>
      <c r="U571" s="211">
        <v>0</v>
      </c>
      <c r="V571" s="213">
        <v>171.72</v>
      </c>
      <c r="W571" s="213">
        <v>97.02</v>
      </c>
    </row>
    <row r="572" spans="1:23" ht="15" customHeight="1">
      <c r="D572" s="47" t="s">
        <v>2059</v>
      </c>
      <c r="G572" s="26"/>
      <c r="H572" s="26"/>
      <c r="I572" s="26"/>
      <c r="J572" s="26"/>
      <c r="K572" s="26"/>
      <c r="L572" s="26"/>
      <c r="M572" s="26"/>
      <c r="N572" s="26"/>
      <c r="P572" s="202">
        <v>556</v>
      </c>
      <c r="Q572" s="210">
        <v>10</v>
      </c>
      <c r="R572" s="205" t="s">
        <v>476</v>
      </c>
      <c r="S572" s="206" t="s">
        <v>101</v>
      </c>
      <c r="T572" s="211">
        <v>0</v>
      </c>
      <c r="U572" s="211">
        <v>0</v>
      </c>
      <c r="V572" s="213">
        <v>0</v>
      </c>
      <c r="W572" s="213">
        <v>0</v>
      </c>
    </row>
    <row r="573" spans="1:23" ht="15" customHeight="1">
      <c r="G573" s="26"/>
      <c r="H573" s="26"/>
      <c r="I573" s="26"/>
      <c r="J573" s="26"/>
      <c r="K573" s="26"/>
      <c r="L573" s="26"/>
      <c r="M573" s="26"/>
      <c r="N573" s="26"/>
      <c r="P573" s="202">
        <v>557</v>
      </c>
      <c r="Q573" s="210">
        <v>10</v>
      </c>
      <c r="R573" s="205" t="s">
        <v>477</v>
      </c>
      <c r="S573" s="206" t="s">
        <v>103</v>
      </c>
      <c r="T573" s="211">
        <v>0</v>
      </c>
      <c r="U573" s="211">
        <v>0</v>
      </c>
      <c r="V573" s="213">
        <v>0</v>
      </c>
      <c r="W573" s="213">
        <v>0</v>
      </c>
    </row>
    <row r="574" spans="1:23" ht="15" customHeight="1">
      <c r="C574" s="3">
        <v>10</v>
      </c>
      <c r="D574" s="15" t="s">
        <v>432</v>
      </c>
      <c r="E574" s="312" t="s">
        <v>433</v>
      </c>
      <c r="G574" s="26">
        <v>17999</v>
      </c>
      <c r="H574" s="26">
        <v>19635</v>
      </c>
      <c r="I574" s="26">
        <v>20628</v>
      </c>
      <c r="J574" s="26">
        <v>16901</v>
      </c>
      <c r="K574" s="26">
        <v>20000</v>
      </c>
      <c r="L574" s="26">
        <v>11420</v>
      </c>
      <c r="M574" s="26">
        <v>15000</v>
      </c>
      <c r="N574" s="26">
        <v>30000</v>
      </c>
      <c r="O574" s="285" t="s">
        <v>3028</v>
      </c>
      <c r="P574" s="202">
        <v>558</v>
      </c>
      <c r="Q574" s="210">
        <v>10</v>
      </c>
      <c r="R574" s="205" t="s">
        <v>2623</v>
      </c>
      <c r="S574" s="206"/>
      <c r="T574" s="211"/>
      <c r="U574" s="211"/>
      <c r="V574" s="213"/>
      <c r="W574" s="213"/>
    </row>
    <row r="575" spans="1:23" ht="15" customHeight="1">
      <c r="C575" s="3">
        <v>10</v>
      </c>
      <c r="D575" s="15" t="s">
        <v>434</v>
      </c>
      <c r="E575" s="312" t="s">
        <v>435</v>
      </c>
      <c r="G575" s="26">
        <v>4895</v>
      </c>
      <c r="H575" s="26">
        <v>0</v>
      </c>
      <c r="I575" s="26">
        <v>0</v>
      </c>
      <c r="J575" s="26">
        <v>0</v>
      </c>
      <c r="K575" s="26">
        <v>0</v>
      </c>
      <c r="L575" s="26">
        <v>0</v>
      </c>
      <c r="M575" s="26">
        <v>0</v>
      </c>
      <c r="N575" s="26">
        <v>0</v>
      </c>
      <c r="O575" s="285"/>
      <c r="P575" s="202">
        <v>559</v>
      </c>
      <c r="Q575" s="210">
        <v>10</v>
      </c>
      <c r="R575" s="205" t="s">
        <v>2621</v>
      </c>
      <c r="S575" s="206"/>
      <c r="T575" s="211">
        <v>155850</v>
      </c>
      <c r="U575" s="211">
        <v>12788.29</v>
      </c>
      <c r="V575" s="213">
        <v>113273.39</v>
      </c>
      <c r="W575" s="213">
        <v>0</v>
      </c>
    </row>
    <row r="576" spans="1:23" ht="15" customHeight="1">
      <c r="C576" s="3">
        <v>10</v>
      </c>
      <c r="D576" s="15" t="s">
        <v>436</v>
      </c>
      <c r="E576" s="312" t="s">
        <v>232</v>
      </c>
      <c r="G576" s="26">
        <v>0</v>
      </c>
      <c r="H576" s="26">
        <v>0</v>
      </c>
      <c r="I576" s="26">
        <v>0</v>
      </c>
      <c r="J576" s="26">
        <v>0</v>
      </c>
      <c r="K576" s="26">
        <v>0</v>
      </c>
      <c r="L576" s="26">
        <v>0</v>
      </c>
      <c r="M576" s="26">
        <v>0</v>
      </c>
      <c r="N576" s="26">
        <v>0</v>
      </c>
      <c r="O576" s="285"/>
      <c r="P576" s="202">
        <v>560</v>
      </c>
      <c r="Q576" s="210">
        <v>10</v>
      </c>
      <c r="R576" s="205" t="s">
        <v>104</v>
      </c>
      <c r="S576" s="206"/>
      <c r="T576" s="211"/>
      <c r="U576" s="211"/>
      <c r="V576" s="213"/>
      <c r="W576" s="213"/>
    </row>
    <row r="577" spans="1:23" ht="15" customHeight="1">
      <c r="C577" s="3">
        <v>10</v>
      </c>
      <c r="D577" s="15" t="s">
        <v>437</v>
      </c>
      <c r="E577" s="312" t="s">
        <v>438</v>
      </c>
      <c r="G577" s="26">
        <v>175</v>
      </c>
      <c r="H577" s="26">
        <v>0</v>
      </c>
      <c r="I577" s="26">
        <v>0</v>
      </c>
      <c r="J577" s="26">
        <v>0</v>
      </c>
      <c r="K577" s="26">
        <v>150</v>
      </c>
      <c r="L577" s="26">
        <v>0</v>
      </c>
      <c r="M577" s="26">
        <v>0</v>
      </c>
      <c r="N577" s="26">
        <v>150</v>
      </c>
      <c r="O577" s="285"/>
      <c r="P577" s="202">
        <v>561</v>
      </c>
      <c r="Q577" s="210">
        <v>10</v>
      </c>
      <c r="R577" s="205" t="s">
        <v>2624</v>
      </c>
      <c r="S577" s="206"/>
      <c r="T577" s="211"/>
      <c r="U577" s="211"/>
      <c r="V577" s="213"/>
      <c r="W577" s="213"/>
    </row>
    <row r="578" spans="1:23" ht="15" customHeight="1">
      <c r="C578" s="3">
        <v>10</v>
      </c>
      <c r="D578" s="15" t="s">
        <v>439</v>
      </c>
      <c r="E578" s="312" t="s">
        <v>440</v>
      </c>
      <c r="G578" s="26">
        <v>0</v>
      </c>
      <c r="H578" s="26">
        <v>0</v>
      </c>
      <c r="I578" s="26">
        <v>0</v>
      </c>
      <c r="J578" s="26">
        <v>0</v>
      </c>
      <c r="K578" s="26">
        <v>0</v>
      </c>
      <c r="L578" s="26">
        <v>0</v>
      </c>
      <c r="M578" s="26">
        <v>0</v>
      </c>
      <c r="N578" s="26">
        <v>0</v>
      </c>
      <c r="O578" s="285"/>
      <c r="P578" s="202">
        <v>562</v>
      </c>
      <c r="Q578" s="210">
        <v>10</v>
      </c>
      <c r="R578" s="205" t="s">
        <v>478</v>
      </c>
      <c r="S578" s="206" t="s">
        <v>115</v>
      </c>
      <c r="T578" s="211">
        <v>200</v>
      </c>
      <c r="U578" s="211">
        <v>35.64</v>
      </c>
      <c r="V578" s="213">
        <v>937.1</v>
      </c>
      <c r="W578" s="213">
        <v>468.55</v>
      </c>
    </row>
    <row r="579" spans="1:23" ht="15" customHeight="1">
      <c r="C579" s="3">
        <v>10</v>
      </c>
      <c r="D579" s="15" t="s">
        <v>441</v>
      </c>
      <c r="E579" s="312" t="s">
        <v>234</v>
      </c>
      <c r="G579" s="26">
        <v>1600</v>
      </c>
      <c r="H579" s="26">
        <v>800</v>
      </c>
      <c r="I579" s="26">
        <v>0</v>
      </c>
      <c r="J579" s="26">
        <v>0</v>
      </c>
      <c r="K579" s="26">
        <v>1000</v>
      </c>
      <c r="L579" s="26">
        <v>0</v>
      </c>
      <c r="M579" s="26">
        <v>0</v>
      </c>
      <c r="N579" s="26">
        <v>1000</v>
      </c>
      <c r="O579" s="285"/>
      <c r="P579" s="202">
        <v>563</v>
      </c>
      <c r="Q579" s="210">
        <v>10</v>
      </c>
      <c r="R579" s="205" t="s">
        <v>479</v>
      </c>
      <c r="S579" s="206" t="s">
        <v>117</v>
      </c>
      <c r="T579" s="211">
        <v>0</v>
      </c>
      <c r="U579" s="211">
        <v>0</v>
      </c>
      <c r="V579" s="213">
        <v>0</v>
      </c>
      <c r="W579" s="213">
        <v>0</v>
      </c>
    </row>
    <row r="580" spans="1:23" ht="15" customHeight="1">
      <c r="C580" s="3">
        <v>10</v>
      </c>
      <c r="D580" s="15" t="s">
        <v>442</v>
      </c>
      <c r="E580" s="312" t="s">
        <v>443</v>
      </c>
      <c r="G580" s="26">
        <v>0</v>
      </c>
      <c r="H580" s="26">
        <v>1000</v>
      </c>
      <c r="I580" s="26">
        <v>0</v>
      </c>
      <c r="J580" s="26">
        <v>0</v>
      </c>
      <c r="K580" s="26">
        <v>1500</v>
      </c>
      <c r="L580" s="26">
        <v>0</v>
      </c>
      <c r="M580" s="26">
        <v>0</v>
      </c>
      <c r="N580" s="26">
        <v>4000</v>
      </c>
      <c r="O580" s="285" t="s">
        <v>2693</v>
      </c>
      <c r="P580" s="202">
        <v>564</v>
      </c>
      <c r="Q580" s="210">
        <v>10</v>
      </c>
      <c r="R580" s="205" t="s">
        <v>480</v>
      </c>
      <c r="S580" s="206" t="s">
        <v>119</v>
      </c>
      <c r="T580" s="211">
        <v>0</v>
      </c>
      <c r="U580" s="211">
        <v>0</v>
      </c>
      <c r="V580" s="213">
        <v>4.16</v>
      </c>
      <c r="W580" s="213">
        <v>0</v>
      </c>
    </row>
    <row r="581" spans="1:23" ht="15" customHeight="1">
      <c r="C581" s="3">
        <v>10</v>
      </c>
      <c r="D581" s="15" t="s">
        <v>444</v>
      </c>
      <c r="E581" s="312" t="s">
        <v>445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85"/>
      <c r="P581" s="202">
        <v>565</v>
      </c>
      <c r="Q581" s="210">
        <v>10</v>
      </c>
      <c r="R581" s="205" t="s">
        <v>481</v>
      </c>
      <c r="S581" s="206" t="s">
        <v>121</v>
      </c>
      <c r="T581" s="211">
        <v>250</v>
      </c>
      <c r="U581" s="211">
        <v>0</v>
      </c>
      <c r="V581" s="213">
        <v>0</v>
      </c>
      <c r="W581" s="213">
        <v>0</v>
      </c>
    </row>
    <row r="582" spans="1:23" ht="15" customHeight="1">
      <c r="C582" s="3">
        <v>10</v>
      </c>
      <c r="D582" s="15" t="s">
        <v>446</v>
      </c>
      <c r="E582" s="312" t="s">
        <v>236</v>
      </c>
      <c r="G582" s="26">
        <v>214061</v>
      </c>
      <c r="H582" s="26">
        <v>199031</v>
      </c>
      <c r="I582" s="26">
        <v>200293</v>
      </c>
      <c r="J582" s="26">
        <v>200000</v>
      </c>
      <c r="K582" s="26">
        <v>150000</v>
      </c>
      <c r="L582" s="26">
        <v>0</v>
      </c>
      <c r="M582" s="26">
        <v>57607</v>
      </c>
      <c r="N582" s="26">
        <v>145000</v>
      </c>
      <c r="O582" s="285" t="s">
        <v>3018</v>
      </c>
      <c r="P582" s="202">
        <v>566</v>
      </c>
      <c r="Q582" s="210">
        <v>10</v>
      </c>
      <c r="R582" s="205" t="s">
        <v>482</v>
      </c>
      <c r="S582" s="206" t="s">
        <v>123</v>
      </c>
      <c r="T582" s="211">
        <v>0</v>
      </c>
      <c r="U582" s="211">
        <v>0</v>
      </c>
      <c r="V582" s="213">
        <v>0</v>
      </c>
      <c r="W582" s="213">
        <v>0</v>
      </c>
    </row>
    <row r="583" spans="1:23" ht="15" customHeight="1">
      <c r="C583" s="3">
        <v>10</v>
      </c>
      <c r="D583" s="15" t="s">
        <v>447</v>
      </c>
      <c r="E583" s="312" t="s">
        <v>329</v>
      </c>
      <c r="G583" s="26">
        <v>0</v>
      </c>
      <c r="H583" s="26">
        <v>0</v>
      </c>
      <c r="I583" s="26">
        <v>0</v>
      </c>
      <c r="J583" s="26">
        <v>0</v>
      </c>
      <c r="K583" s="26">
        <v>0</v>
      </c>
      <c r="L583" s="26">
        <v>0</v>
      </c>
      <c r="M583" s="26">
        <v>0</v>
      </c>
      <c r="N583" s="26">
        <v>0</v>
      </c>
      <c r="O583" s="285"/>
      <c r="P583" s="202">
        <v>567</v>
      </c>
      <c r="Q583" s="210">
        <v>10</v>
      </c>
      <c r="R583" s="205" t="s">
        <v>483</v>
      </c>
      <c r="S583" s="206" t="s">
        <v>125</v>
      </c>
      <c r="T583" s="211">
        <v>200</v>
      </c>
      <c r="U583" s="211">
        <v>0</v>
      </c>
      <c r="V583" s="213">
        <v>0</v>
      </c>
      <c r="W583" s="213">
        <v>0</v>
      </c>
    </row>
    <row r="584" spans="1:23" ht="15" customHeight="1">
      <c r="C584" s="3">
        <v>10</v>
      </c>
      <c r="D584" s="15" t="s">
        <v>448</v>
      </c>
      <c r="E584" s="312" t="s">
        <v>165</v>
      </c>
      <c r="G584" s="26">
        <v>0</v>
      </c>
      <c r="H584" s="26">
        <v>81</v>
      </c>
      <c r="I584" s="26">
        <v>0</v>
      </c>
      <c r="J584" s="26">
        <v>0</v>
      </c>
      <c r="K584" s="26">
        <v>0</v>
      </c>
      <c r="L584" s="26">
        <v>0</v>
      </c>
      <c r="M584" s="26">
        <v>0</v>
      </c>
      <c r="N584" s="26">
        <v>0</v>
      </c>
      <c r="O584" s="285"/>
      <c r="P584" s="202">
        <v>568</v>
      </c>
      <c r="Q584" s="210">
        <v>10</v>
      </c>
      <c r="R584" s="205" t="s">
        <v>484</v>
      </c>
      <c r="S584" s="206" t="s">
        <v>106</v>
      </c>
      <c r="T584" s="211">
        <v>750</v>
      </c>
      <c r="U584" s="211">
        <v>0</v>
      </c>
      <c r="V584" s="213">
        <v>480.97</v>
      </c>
      <c r="W584" s="213">
        <v>64.13</v>
      </c>
    </row>
    <row r="585" spans="1:23" ht="15" customHeight="1">
      <c r="C585" s="3">
        <v>10</v>
      </c>
      <c r="D585" s="15" t="s">
        <v>449</v>
      </c>
      <c r="E585" s="312" t="s">
        <v>167</v>
      </c>
      <c r="G585" s="26">
        <v>235</v>
      </c>
      <c r="H585" s="26">
        <v>508</v>
      </c>
      <c r="I585" s="26">
        <v>762</v>
      </c>
      <c r="J585" s="26">
        <v>0</v>
      </c>
      <c r="K585" s="26">
        <v>500</v>
      </c>
      <c r="L585" s="26">
        <v>0</v>
      </c>
      <c r="M585" s="26">
        <v>0</v>
      </c>
      <c r="N585" s="26">
        <v>540</v>
      </c>
      <c r="O585" s="285"/>
      <c r="P585" s="202">
        <v>569</v>
      </c>
      <c r="Q585" s="210">
        <v>10</v>
      </c>
      <c r="R585" s="205" t="s">
        <v>485</v>
      </c>
      <c r="S585" s="206" t="s">
        <v>197</v>
      </c>
      <c r="T585" s="211">
        <v>0</v>
      </c>
      <c r="U585" s="211">
        <v>0</v>
      </c>
      <c r="V585" s="213">
        <v>0</v>
      </c>
      <c r="W585" s="213">
        <v>0</v>
      </c>
    </row>
    <row r="586" spans="1:23" ht="15" customHeight="1">
      <c r="C586" s="3">
        <v>10</v>
      </c>
      <c r="D586" s="15" t="s">
        <v>450</v>
      </c>
      <c r="E586" s="312" t="s">
        <v>169</v>
      </c>
      <c r="G586" s="26">
        <v>103</v>
      </c>
      <c r="H586" s="26">
        <v>166</v>
      </c>
      <c r="I586" s="26">
        <v>191</v>
      </c>
      <c r="J586" s="26">
        <v>291</v>
      </c>
      <c r="K586" s="26">
        <v>150</v>
      </c>
      <c r="L586" s="26">
        <v>86</v>
      </c>
      <c r="M586" s="26">
        <v>148</v>
      </c>
      <c r="N586" s="26">
        <v>150</v>
      </c>
      <c r="O586" s="285"/>
      <c r="P586" s="202">
        <v>570</v>
      </c>
      <c r="Q586" s="210">
        <v>10</v>
      </c>
      <c r="R586" s="205" t="s">
        <v>486</v>
      </c>
      <c r="S586" s="206" t="s">
        <v>128</v>
      </c>
      <c r="T586" s="211">
        <v>0</v>
      </c>
      <c r="U586" s="211">
        <v>0</v>
      </c>
      <c r="V586" s="213">
        <v>0</v>
      </c>
      <c r="W586" s="213">
        <v>0</v>
      </c>
    </row>
    <row r="587" spans="1:23" ht="15" customHeight="1">
      <c r="C587" s="3">
        <v>10</v>
      </c>
      <c r="D587" s="15" t="s">
        <v>451</v>
      </c>
      <c r="E587" s="312" t="s">
        <v>171</v>
      </c>
      <c r="G587" s="26">
        <v>2078</v>
      </c>
      <c r="H587" s="26">
        <v>14666</v>
      </c>
      <c r="I587" s="26">
        <v>10738</v>
      </c>
      <c r="J587" s="26">
        <v>16751</v>
      </c>
      <c r="K587" s="26">
        <v>14000</v>
      </c>
      <c r="L587" s="26">
        <v>8639</v>
      </c>
      <c r="M587" s="26">
        <v>14810</v>
      </c>
      <c r="N587" s="26">
        <v>15120</v>
      </c>
      <c r="O587" s="285"/>
      <c r="P587" s="202">
        <v>571</v>
      </c>
      <c r="Q587" s="210">
        <v>10</v>
      </c>
      <c r="R587" s="205" t="s">
        <v>487</v>
      </c>
      <c r="S587" s="206" t="s">
        <v>200</v>
      </c>
      <c r="T587" s="211">
        <v>1350</v>
      </c>
      <c r="U587" s="211">
        <v>94.15</v>
      </c>
      <c r="V587" s="213">
        <v>684.14</v>
      </c>
      <c r="W587" s="213">
        <v>50.68</v>
      </c>
    </row>
    <row r="588" spans="1:23" ht="15" customHeight="1">
      <c r="C588" s="3">
        <v>10</v>
      </c>
      <c r="D588" s="15" t="s">
        <v>452</v>
      </c>
      <c r="E588" s="312" t="s">
        <v>173</v>
      </c>
      <c r="G588" s="26">
        <v>976</v>
      </c>
      <c r="H588" s="26">
        <v>11409</v>
      </c>
      <c r="I588" s="26">
        <v>19285</v>
      </c>
      <c r="J588" s="26">
        <v>6782</v>
      </c>
      <c r="K588" s="26">
        <v>7000</v>
      </c>
      <c r="L588" s="26">
        <v>1490</v>
      </c>
      <c r="M588" s="26">
        <v>2555</v>
      </c>
      <c r="N588" s="26">
        <v>7560</v>
      </c>
      <c r="O588" s="285"/>
      <c r="P588" s="202">
        <v>572</v>
      </c>
      <c r="Q588" s="210">
        <v>10</v>
      </c>
      <c r="R588" s="205" t="s">
        <v>488</v>
      </c>
      <c r="S588" s="206" t="s">
        <v>202</v>
      </c>
      <c r="T588" s="211">
        <v>0</v>
      </c>
      <c r="U588" s="211">
        <v>0</v>
      </c>
      <c r="V588" s="213">
        <v>0</v>
      </c>
      <c r="W588" s="213">
        <v>0</v>
      </c>
    </row>
    <row r="589" spans="1:23" ht="15" customHeight="1">
      <c r="C589" s="3">
        <v>10</v>
      </c>
      <c r="D589" s="15" t="s">
        <v>453</v>
      </c>
      <c r="E589" s="312" t="s">
        <v>175</v>
      </c>
      <c r="G589" s="26">
        <v>0</v>
      </c>
      <c r="H589" s="26">
        <v>0</v>
      </c>
      <c r="I589" s="26">
        <v>0</v>
      </c>
      <c r="J589" s="26">
        <v>0</v>
      </c>
      <c r="K589" s="26">
        <v>0</v>
      </c>
      <c r="L589" s="26">
        <v>0</v>
      </c>
      <c r="M589" s="26">
        <v>0</v>
      </c>
      <c r="N589" s="26">
        <v>0</v>
      </c>
      <c r="O589" s="285"/>
      <c r="P589" s="202">
        <v>573</v>
      </c>
      <c r="Q589" s="210">
        <v>10</v>
      </c>
      <c r="R589" s="205" t="s">
        <v>489</v>
      </c>
      <c r="S589" s="206" t="s">
        <v>130</v>
      </c>
      <c r="T589" s="211">
        <v>500</v>
      </c>
      <c r="U589" s="211">
        <v>0</v>
      </c>
      <c r="V589" s="213">
        <v>68.09</v>
      </c>
      <c r="W589" s="213">
        <v>13.62</v>
      </c>
    </row>
    <row r="590" spans="1:23" ht="15" customHeight="1">
      <c r="C590" s="3">
        <v>10</v>
      </c>
      <c r="D590" s="15" t="s">
        <v>454</v>
      </c>
      <c r="E590" s="312" t="s">
        <v>244</v>
      </c>
      <c r="G590" s="26">
        <v>0</v>
      </c>
      <c r="H590" s="26">
        <v>0</v>
      </c>
      <c r="I590" s="26">
        <v>0</v>
      </c>
      <c r="J590" s="26">
        <v>0</v>
      </c>
      <c r="K590" s="26">
        <v>0</v>
      </c>
      <c r="L590" s="26">
        <v>0</v>
      </c>
      <c r="M590" s="26">
        <v>0</v>
      </c>
      <c r="N590" s="26">
        <v>0</v>
      </c>
      <c r="O590" s="285"/>
      <c r="P590" s="202">
        <v>574</v>
      </c>
      <c r="Q590" s="210">
        <v>10</v>
      </c>
      <c r="R590" s="205" t="s">
        <v>490</v>
      </c>
      <c r="S590" s="206" t="s">
        <v>132</v>
      </c>
      <c r="T590" s="211">
        <v>500</v>
      </c>
      <c r="U590" s="211">
        <v>0</v>
      </c>
      <c r="V590" s="213">
        <v>139.08000000000001</v>
      </c>
      <c r="W590" s="213">
        <v>27.82</v>
      </c>
    </row>
    <row r="591" spans="1:23" ht="15" customHeight="1">
      <c r="G591" s="26"/>
      <c r="H591" s="26"/>
      <c r="I591" s="26"/>
      <c r="J591" s="26"/>
      <c r="K591" s="26"/>
      <c r="L591" s="26"/>
      <c r="M591" s="26"/>
      <c r="N591" s="26"/>
      <c r="P591" s="202">
        <v>575</v>
      </c>
      <c r="Q591" s="210">
        <v>10</v>
      </c>
      <c r="R591" s="205" t="s">
        <v>491</v>
      </c>
      <c r="S591" s="206" t="s">
        <v>206</v>
      </c>
      <c r="T591" s="211">
        <v>1750</v>
      </c>
      <c r="U591" s="211">
        <v>125.27</v>
      </c>
      <c r="V591" s="213">
        <v>1135.1500000000001</v>
      </c>
      <c r="W591" s="213">
        <v>64.87</v>
      </c>
    </row>
    <row r="592" spans="1:23" s="23" customFormat="1" ht="15" customHeight="1">
      <c r="A592" s="2" t="s">
        <v>163</v>
      </c>
      <c r="B592" s="2" t="s">
        <v>2317</v>
      </c>
      <c r="C592" s="3"/>
      <c r="D592" s="323" t="s">
        <v>2060</v>
      </c>
      <c r="E592" s="323"/>
      <c r="F592" s="324"/>
      <c r="G592" s="325">
        <f>SUM(G572:G591)</f>
        <v>242122</v>
      </c>
      <c r="H592" s="325">
        <f t="shared" ref="H592:N592" si="61">SUM(H572:H591)</f>
        <v>247296</v>
      </c>
      <c r="I592" s="325">
        <f t="shared" si="61"/>
        <v>251897</v>
      </c>
      <c r="J592" s="325">
        <f t="shared" si="61"/>
        <v>240725</v>
      </c>
      <c r="K592" s="325">
        <f t="shared" si="61"/>
        <v>194300</v>
      </c>
      <c r="L592" s="325">
        <f t="shared" si="61"/>
        <v>21635</v>
      </c>
      <c r="M592" s="325">
        <f t="shared" si="61"/>
        <v>90120</v>
      </c>
      <c r="N592" s="325">
        <f t="shared" si="61"/>
        <v>203520</v>
      </c>
      <c r="O592" s="291"/>
      <c r="P592" s="202">
        <v>576</v>
      </c>
      <c r="Q592" s="210">
        <v>10</v>
      </c>
      <c r="R592" s="205" t="s">
        <v>492</v>
      </c>
      <c r="S592" s="206" t="s">
        <v>208</v>
      </c>
      <c r="T592" s="211">
        <v>100</v>
      </c>
      <c r="U592" s="211">
        <v>0</v>
      </c>
      <c r="V592" s="213">
        <v>0</v>
      </c>
      <c r="W592" s="213">
        <v>0</v>
      </c>
    </row>
    <row r="593" spans="1:23" s="46" customFormat="1" ht="15" customHeight="1">
      <c r="A593" s="2"/>
      <c r="B593" s="2"/>
      <c r="C593" s="3"/>
      <c r="D593" s="47"/>
      <c r="E593" s="47"/>
      <c r="F593" s="191"/>
      <c r="G593" s="48"/>
      <c r="H593" s="48"/>
      <c r="I593" s="48"/>
      <c r="J593" s="48"/>
      <c r="K593" s="48"/>
      <c r="L593" s="48"/>
      <c r="M593" s="48"/>
      <c r="N593" s="48"/>
      <c r="O593" s="289"/>
      <c r="P593" s="202">
        <v>577</v>
      </c>
      <c r="Q593" s="210">
        <v>10</v>
      </c>
      <c r="R593" s="205" t="s">
        <v>493</v>
      </c>
      <c r="S593" s="206" t="s">
        <v>210</v>
      </c>
      <c r="T593" s="211">
        <v>300</v>
      </c>
      <c r="U593" s="211">
        <v>0</v>
      </c>
      <c r="V593" s="213">
        <v>8</v>
      </c>
      <c r="W593" s="213">
        <v>2.67</v>
      </c>
    </row>
    <row r="594" spans="1:23" ht="15" customHeight="1">
      <c r="D594" s="47" t="s">
        <v>2061</v>
      </c>
      <c r="G594" s="26"/>
      <c r="H594" s="26"/>
      <c r="I594" s="26"/>
      <c r="J594" s="26"/>
      <c r="K594" s="26"/>
      <c r="L594" s="26"/>
      <c r="M594" s="26"/>
      <c r="N594" s="26"/>
      <c r="P594" s="202">
        <v>578</v>
      </c>
      <c r="Q594" s="210">
        <v>10</v>
      </c>
      <c r="R594" s="205" t="s">
        <v>494</v>
      </c>
      <c r="S594" s="206" t="s">
        <v>134</v>
      </c>
      <c r="T594" s="211">
        <v>0</v>
      </c>
      <c r="U594" s="211">
        <v>0</v>
      </c>
      <c r="V594" s="213">
        <v>0</v>
      </c>
      <c r="W594" s="213">
        <v>0</v>
      </c>
    </row>
    <row r="595" spans="1:23" ht="15" customHeight="1">
      <c r="G595" s="26"/>
      <c r="H595" s="26"/>
      <c r="I595" s="26"/>
      <c r="J595" s="26"/>
      <c r="K595" s="26"/>
      <c r="L595" s="26"/>
      <c r="M595" s="26"/>
      <c r="N595" s="26"/>
      <c r="P595" s="202">
        <v>579</v>
      </c>
      <c r="Q595" s="210">
        <v>10</v>
      </c>
      <c r="R595" s="205" t="s">
        <v>495</v>
      </c>
      <c r="S595" s="206" t="s">
        <v>213</v>
      </c>
      <c r="T595" s="211">
        <v>0</v>
      </c>
      <c r="U595" s="211">
        <v>0</v>
      </c>
      <c r="V595" s="213">
        <v>0</v>
      </c>
      <c r="W595" s="213">
        <v>0</v>
      </c>
    </row>
    <row r="596" spans="1:23" ht="15" customHeight="1">
      <c r="C596" s="3">
        <v>10</v>
      </c>
      <c r="D596" s="15" t="s">
        <v>455</v>
      </c>
      <c r="E596" s="312" t="s">
        <v>435</v>
      </c>
      <c r="G596" s="26">
        <v>525</v>
      </c>
      <c r="H596" s="26">
        <v>0</v>
      </c>
      <c r="I596" s="26">
        <v>0</v>
      </c>
      <c r="J596" s="26">
        <v>0</v>
      </c>
      <c r="K596" s="26">
        <v>0</v>
      </c>
      <c r="L596" s="26">
        <v>0</v>
      </c>
      <c r="M596" s="26">
        <v>0</v>
      </c>
      <c r="N596" s="26">
        <v>0</v>
      </c>
      <c r="O596" s="285"/>
      <c r="P596" s="202">
        <v>580</v>
      </c>
      <c r="Q596" s="210">
        <v>10</v>
      </c>
      <c r="R596" s="205" t="s">
        <v>2623</v>
      </c>
      <c r="S596" s="206"/>
      <c r="T596" s="211"/>
      <c r="U596" s="211"/>
      <c r="V596" s="213"/>
      <c r="W596" s="213"/>
    </row>
    <row r="597" spans="1:23" ht="15" customHeight="1">
      <c r="C597" s="3">
        <v>10</v>
      </c>
      <c r="D597" s="15" t="s">
        <v>456</v>
      </c>
      <c r="E597" s="312" t="s">
        <v>329</v>
      </c>
      <c r="G597" s="26">
        <v>0</v>
      </c>
      <c r="H597" s="26">
        <v>0</v>
      </c>
      <c r="I597" s="26">
        <v>0</v>
      </c>
      <c r="J597" s="26">
        <v>27291</v>
      </c>
      <c r="K597" s="26">
        <v>45000</v>
      </c>
      <c r="L597" s="26">
        <v>0</v>
      </c>
      <c r="M597" s="26">
        <v>72393</v>
      </c>
      <c r="N597" s="26">
        <v>0</v>
      </c>
      <c r="O597" s="285"/>
      <c r="P597" s="202">
        <v>581</v>
      </c>
      <c r="Q597" s="210">
        <v>10</v>
      </c>
      <c r="R597" s="205" t="s">
        <v>104</v>
      </c>
      <c r="S597" s="206"/>
      <c r="T597" s="211">
        <v>5900</v>
      </c>
      <c r="U597" s="211">
        <v>255.06</v>
      </c>
      <c r="V597" s="213">
        <v>3456.69</v>
      </c>
      <c r="W597" s="213">
        <v>0</v>
      </c>
    </row>
    <row r="598" spans="1:23" ht="15" customHeight="1">
      <c r="C598" s="3">
        <v>10</v>
      </c>
      <c r="D598" s="15" t="s">
        <v>457</v>
      </c>
      <c r="E598" s="312" t="s">
        <v>165</v>
      </c>
      <c r="G598" s="26">
        <v>0</v>
      </c>
      <c r="H598" s="26">
        <v>0</v>
      </c>
      <c r="I598" s="26">
        <v>0</v>
      </c>
      <c r="J598" s="26">
        <v>0</v>
      </c>
      <c r="K598" s="26">
        <v>0</v>
      </c>
      <c r="L598" s="26">
        <v>0</v>
      </c>
      <c r="M598" s="26">
        <v>0</v>
      </c>
      <c r="N598" s="26">
        <v>0</v>
      </c>
      <c r="O598" s="285"/>
      <c r="P598" s="202">
        <v>582</v>
      </c>
      <c r="Q598" s="210">
        <v>10</v>
      </c>
      <c r="R598" s="205" t="s">
        <v>135</v>
      </c>
      <c r="S598" s="206"/>
      <c r="T598" s="211"/>
      <c r="U598" s="211"/>
      <c r="V598" s="213"/>
      <c r="W598" s="213"/>
    </row>
    <row r="599" spans="1:23" ht="15" customHeight="1">
      <c r="C599" s="3">
        <v>10</v>
      </c>
      <c r="D599" s="15" t="s">
        <v>458</v>
      </c>
      <c r="E599" s="312" t="s">
        <v>167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85"/>
      <c r="P599" s="202">
        <v>583</v>
      </c>
      <c r="Q599" s="210">
        <v>10</v>
      </c>
      <c r="R599" s="205" t="s">
        <v>2626</v>
      </c>
      <c r="S599" s="206"/>
      <c r="T599" s="211"/>
      <c r="U599" s="211"/>
      <c r="V599" s="213"/>
      <c r="W599" s="213"/>
    </row>
    <row r="600" spans="1:23" ht="15" customHeight="1">
      <c r="C600" s="3">
        <v>10</v>
      </c>
      <c r="D600" s="15" t="s">
        <v>459</v>
      </c>
      <c r="E600" s="312" t="s">
        <v>247</v>
      </c>
      <c r="G600" s="26">
        <v>0</v>
      </c>
      <c r="H600" s="26">
        <v>0</v>
      </c>
      <c r="I600" s="26">
        <v>0</v>
      </c>
      <c r="J600" s="26">
        <v>7198</v>
      </c>
      <c r="K600" s="26">
        <v>0</v>
      </c>
      <c r="L600" s="26">
        <v>0</v>
      </c>
      <c r="M600" s="26">
        <v>0</v>
      </c>
      <c r="N600" s="26">
        <v>0</v>
      </c>
      <c r="O600" s="285"/>
      <c r="P600" s="202">
        <v>584</v>
      </c>
      <c r="Q600" s="210">
        <v>10</v>
      </c>
      <c r="R600" s="205" t="s">
        <v>496</v>
      </c>
      <c r="S600" s="206" t="s">
        <v>137</v>
      </c>
      <c r="T600" s="211">
        <v>1450</v>
      </c>
      <c r="U600" s="211">
        <v>119.64</v>
      </c>
      <c r="V600" s="213">
        <v>991.05</v>
      </c>
      <c r="W600" s="213">
        <v>68.349999999999994</v>
      </c>
    </row>
    <row r="601" spans="1:23" ht="15" customHeight="1">
      <c r="C601" s="3">
        <v>10</v>
      </c>
      <c r="D601" s="15" t="s">
        <v>460</v>
      </c>
      <c r="E601" s="312" t="s">
        <v>461</v>
      </c>
      <c r="G601" s="26">
        <v>0</v>
      </c>
      <c r="H601" s="26">
        <v>11994</v>
      </c>
      <c r="I601" s="26">
        <v>-147200</v>
      </c>
      <c r="J601" s="26">
        <v>0</v>
      </c>
      <c r="K601" s="26">
        <v>-48000</v>
      </c>
      <c r="L601" s="26">
        <v>0</v>
      </c>
      <c r="M601" s="26">
        <f>-48000</f>
        <v>-48000</v>
      </c>
      <c r="N601" s="26">
        <v>0</v>
      </c>
      <c r="O601" s="285"/>
      <c r="P601" s="202">
        <v>585</v>
      </c>
      <c r="Q601" s="210">
        <v>10</v>
      </c>
      <c r="R601" s="205" t="s">
        <v>497</v>
      </c>
      <c r="S601" s="206" t="s">
        <v>216</v>
      </c>
      <c r="T601" s="211">
        <v>0</v>
      </c>
      <c r="U601" s="211">
        <v>0</v>
      </c>
      <c r="V601" s="213">
        <v>0</v>
      </c>
      <c r="W601" s="213">
        <v>0</v>
      </c>
    </row>
    <row r="602" spans="1:23" ht="15" customHeight="1">
      <c r="C602" s="3">
        <v>10</v>
      </c>
      <c r="D602" s="15" t="s">
        <v>462</v>
      </c>
      <c r="E602" s="312" t="s">
        <v>382</v>
      </c>
      <c r="G602" s="26">
        <v>0</v>
      </c>
      <c r="H602" s="26">
        <v>-6994</v>
      </c>
      <c r="I602" s="26">
        <v>0</v>
      </c>
      <c r="J602" s="26">
        <v>0</v>
      </c>
      <c r="K602" s="26">
        <v>60000</v>
      </c>
      <c r="L602" s="26">
        <v>59947</v>
      </c>
      <c r="M602" s="26">
        <v>60000</v>
      </c>
      <c r="N602" s="26">
        <v>0</v>
      </c>
      <c r="O602" s="285"/>
      <c r="P602" s="202">
        <v>586</v>
      </c>
      <c r="Q602" s="210">
        <v>10</v>
      </c>
      <c r="R602" s="205" t="s">
        <v>498</v>
      </c>
      <c r="S602" s="206" t="s">
        <v>139</v>
      </c>
      <c r="T602" s="211">
        <v>500</v>
      </c>
      <c r="U602" s="211">
        <v>0</v>
      </c>
      <c r="V602" s="213">
        <v>207.39</v>
      </c>
      <c r="W602" s="213">
        <v>41.48</v>
      </c>
    </row>
    <row r="603" spans="1:23" ht="15" customHeight="1">
      <c r="C603" s="3">
        <v>10</v>
      </c>
      <c r="D603" s="15" t="s">
        <v>463</v>
      </c>
      <c r="E603" s="312" t="s">
        <v>173</v>
      </c>
      <c r="G603" s="26">
        <v>20000</v>
      </c>
      <c r="H603" s="26">
        <v>24758</v>
      </c>
      <c r="I603" s="26">
        <v>175000</v>
      </c>
      <c r="J603" s="26">
        <v>0</v>
      </c>
      <c r="K603" s="26">
        <v>0</v>
      </c>
      <c r="L603" s="26">
        <v>0</v>
      </c>
      <c r="M603" s="26">
        <v>0</v>
      </c>
      <c r="N603" s="26">
        <v>0</v>
      </c>
      <c r="O603" s="285"/>
      <c r="P603" s="202">
        <v>587</v>
      </c>
      <c r="Q603" s="210">
        <v>10</v>
      </c>
      <c r="R603" s="205" t="s">
        <v>499</v>
      </c>
      <c r="S603" s="206" t="s">
        <v>141</v>
      </c>
      <c r="T603" s="211">
        <v>0</v>
      </c>
      <c r="U603" s="211">
        <v>0</v>
      </c>
      <c r="V603" s="213">
        <v>0</v>
      </c>
      <c r="W603" s="213">
        <v>0</v>
      </c>
    </row>
    <row r="604" spans="1:23" ht="15" customHeight="1">
      <c r="G604" s="26"/>
      <c r="H604" s="26"/>
      <c r="I604" s="26"/>
      <c r="J604" s="26"/>
      <c r="K604" s="26"/>
      <c r="L604" s="26"/>
      <c r="M604" s="26"/>
      <c r="N604" s="26"/>
      <c r="P604" s="202">
        <v>588</v>
      </c>
      <c r="Q604" s="210">
        <v>10</v>
      </c>
      <c r="R604" s="205" t="s">
        <v>500</v>
      </c>
      <c r="S604" s="206" t="s">
        <v>143</v>
      </c>
      <c r="T604" s="211">
        <v>0</v>
      </c>
      <c r="U604" s="211">
        <v>0</v>
      </c>
      <c r="V604" s="213">
        <v>0</v>
      </c>
      <c r="W604" s="213">
        <v>0</v>
      </c>
    </row>
    <row r="605" spans="1:23" s="24" customFormat="1" ht="15" customHeight="1">
      <c r="A605" s="2" t="s">
        <v>245</v>
      </c>
      <c r="B605" s="2" t="s">
        <v>2317</v>
      </c>
      <c r="C605" s="3"/>
      <c r="D605" s="323" t="s">
        <v>2062</v>
      </c>
      <c r="E605" s="323"/>
      <c r="F605" s="324"/>
      <c r="G605" s="325">
        <f>SUM(G594:G604)</f>
        <v>20525</v>
      </c>
      <c r="H605" s="325">
        <f t="shared" ref="H605:N605" si="62">SUM(H594:H604)</f>
        <v>29758</v>
      </c>
      <c r="I605" s="325">
        <f t="shared" si="62"/>
        <v>27800</v>
      </c>
      <c r="J605" s="325">
        <f t="shared" si="62"/>
        <v>34489</v>
      </c>
      <c r="K605" s="325">
        <f t="shared" si="62"/>
        <v>57000</v>
      </c>
      <c r="L605" s="325">
        <f t="shared" si="62"/>
        <v>59947</v>
      </c>
      <c r="M605" s="325">
        <f t="shared" si="62"/>
        <v>84393</v>
      </c>
      <c r="N605" s="325">
        <f t="shared" si="62"/>
        <v>0</v>
      </c>
      <c r="O605" s="292"/>
      <c r="P605" s="202">
        <v>589</v>
      </c>
      <c r="Q605" s="210">
        <v>10</v>
      </c>
      <c r="R605" s="205" t="s">
        <v>501</v>
      </c>
      <c r="S605" s="206" t="s">
        <v>145</v>
      </c>
      <c r="T605" s="211">
        <v>15000</v>
      </c>
      <c r="U605" s="211">
        <v>654.80999999999995</v>
      </c>
      <c r="V605" s="213">
        <v>8369.44</v>
      </c>
      <c r="W605" s="213">
        <v>55.8</v>
      </c>
    </row>
    <row r="606" spans="1:23" ht="15" customHeight="1">
      <c r="G606" s="26"/>
      <c r="H606" s="26"/>
      <c r="I606" s="26"/>
      <c r="J606" s="26"/>
      <c r="K606" s="26"/>
      <c r="L606" s="26"/>
      <c r="M606" s="26"/>
      <c r="N606" s="26"/>
      <c r="P606" s="202">
        <v>590</v>
      </c>
      <c r="Q606" s="210">
        <v>10</v>
      </c>
      <c r="R606" s="205" t="s">
        <v>502</v>
      </c>
      <c r="S606" s="206" t="s">
        <v>147</v>
      </c>
      <c r="T606" s="211">
        <v>50</v>
      </c>
      <c r="U606" s="211">
        <v>0</v>
      </c>
      <c r="V606" s="213">
        <v>0</v>
      </c>
      <c r="W606" s="213">
        <v>0</v>
      </c>
    </row>
    <row r="607" spans="1:23" s="43" customFormat="1" ht="15" customHeight="1" thickBot="1">
      <c r="A607" s="2"/>
      <c r="B607" s="2" t="s">
        <v>2317</v>
      </c>
      <c r="C607" s="3"/>
      <c r="D607" s="68" t="s">
        <v>1984</v>
      </c>
      <c r="E607" s="326"/>
      <c r="F607" s="327"/>
      <c r="G607" s="328">
        <f t="shared" ref="G607:N607" si="63">+G605+G592+G570+G549+G526</f>
        <v>629492</v>
      </c>
      <c r="H607" s="328">
        <f t="shared" si="63"/>
        <v>654393</v>
      </c>
      <c r="I607" s="328">
        <f t="shared" si="63"/>
        <v>669947</v>
      </c>
      <c r="J607" s="328">
        <f t="shared" si="63"/>
        <v>708333</v>
      </c>
      <c r="K607" s="328">
        <f t="shared" si="63"/>
        <v>679422</v>
      </c>
      <c r="L607" s="328">
        <f t="shared" si="63"/>
        <v>333279</v>
      </c>
      <c r="M607" s="328">
        <f t="shared" si="63"/>
        <v>605219.72</v>
      </c>
      <c r="N607" s="328">
        <f t="shared" si="63"/>
        <v>683232</v>
      </c>
      <c r="O607" s="288"/>
      <c r="P607" s="202">
        <v>591</v>
      </c>
      <c r="Q607" s="210">
        <v>10</v>
      </c>
      <c r="R607" s="205" t="s">
        <v>503</v>
      </c>
      <c r="S607" s="206" t="s">
        <v>149</v>
      </c>
      <c r="T607" s="211">
        <v>500</v>
      </c>
      <c r="U607" s="211">
        <v>0</v>
      </c>
      <c r="V607" s="213">
        <v>0</v>
      </c>
      <c r="W607" s="213">
        <v>0</v>
      </c>
    </row>
    <row r="608" spans="1:23" s="45" customFormat="1" ht="15" customHeight="1" thickTop="1">
      <c r="A608" s="2"/>
      <c r="B608" s="2"/>
      <c r="C608" s="3"/>
      <c r="D608" s="47"/>
      <c r="E608" s="15"/>
      <c r="F608" s="105"/>
      <c r="G608" s="26"/>
      <c r="H608" s="26"/>
      <c r="I608" s="26"/>
      <c r="J608" s="26"/>
      <c r="K608" s="26"/>
      <c r="L608" s="26"/>
      <c r="M608" s="26"/>
      <c r="N608" s="26"/>
      <c r="O608" s="275"/>
      <c r="P608" s="202">
        <v>592</v>
      </c>
      <c r="Q608" s="210">
        <v>10</v>
      </c>
      <c r="R608" s="205" t="s">
        <v>504</v>
      </c>
      <c r="S608" s="206" t="s">
        <v>151</v>
      </c>
      <c r="T608" s="211">
        <v>0</v>
      </c>
      <c r="U608" s="211">
        <v>0</v>
      </c>
      <c r="V608" s="213">
        <v>0</v>
      </c>
      <c r="W608" s="213">
        <v>0</v>
      </c>
    </row>
    <row r="609" spans="1:23" s="45" customFormat="1" ht="15" customHeight="1">
      <c r="A609" s="2"/>
      <c r="B609" s="2"/>
      <c r="C609" s="3"/>
      <c r="D609" s="47" t="s">
        <v>7</v>
      </c>
      <c r="E609" s="15"/>
      <c r="F609" s="105"/>
      <c r="G609" s="26"/>
      <c r="H609" s="26"/>
      <c r="I609" s="26"/>
      <c r="J609" s="26"/>
      <c r="K609" s="26"/>
      <c r="L609" s="26"/>
      <c r="M609" s="26"/>
      <c r="N609" s="26"/>
      <c r="O609" s="275"/>
      <c r="P609" s="202">
        <v>593</v>
      </c>
      <c r="Q609" s="210">
        <v>10</v>
      </c>
      <c r="R609" s="205" t="s">
        <v>505</v>
      </c>
      <c r="S609" s="206" t="s">
        <v>153</v>
      </c>
      <c r="T609" s="211">
        <v>0</v>
      </c>
      <c r="U609" s="211">
        <v>0</v>
      </c>
      <c r="V609" s="213">
        <v>0</v>
      </c>
      <c r="W609" s="213">
        <v>0</v>
      </c>
    </row>
    <row r="610" spans="1:23" s="45" customFormat="1" ht="15" customHeight="1">
      <c r="A610" s="2"/>
      <c r="B610" s="2"/>
      <c r="C610" s="3"/>
      <c r="D610" s="47"/>
      <c r="E610" s="15"/>
      <c r="F610" s="105"/>
      <c r="G610" s="26"/>
      <c r="H610" s="26"/>
      <c r="I610" s="26"/>
      <c r="J610" s="26"/>
      <c r="K610" s="26"/>
      <c r="L610" s="26"/>
      <c r="M610" s="26"/>
      <c r="N610" s="26"/>
      <c r="O610" s="275"/>
      <c r="P610" s="202">
        <v>594</v>
      </c>
      <c r="Q610" s="210">
        <v>10</v>
      </c>
      <c r="R610" s="205" t="s">
        <v>506</v>
      </c>
      <c r="S610" s="206" t="s">
        <v>157</v>
      </c>
      <c r="T610" s="211">
        <v>4200</v>
      </c>
      <c r="U610" s="211">
        <v>432.55</v>
      </c>
      <c r="V610" s="213">
        <v>2922.85</v>
      </c>
      <c r="W610" s="213">
        <v>69.59</v>
      </c>
    </row>
    <row r="611" spans="1:23" s="5" customFormat="1" ht="15" customHeight="1">
      <c r="A611" s="2"/>
      <c r="B611" s="2"/>
      <c r="C611" s="3"/>
      <c r="D611" s="47" t="s">
        <v>2063</v>
      </c>
      <c r="E611" s="15"/>
      <c r="F611" s="105"/>
      <c r="G611" s="26"/>
      <c r="H611" s="26"/>
      <c r="I611" s="26"/>
      <c r="J611" s="26"/>
      <c r="K611" s="26"/>
      <c r="L611" s="26"/>
      <c r="M611" s="26"/>
      <c r="N611" s="26"/>
      <c r="O611" s="282"/>
      <c r="P611" s="202">
        <v>595</v>
      </c>
      <c r="Q611" s="210">
        <v>10</v>
      </c>
      <c r="R611" s="205" t="s">
        <v>507</v>
      </c>
      <c r="S611" s="206" t="s">
        <v>159</v>
      </c>
      <c r="T611" s="211">
        <v>0</v>
      </c>
      <c r="U611" s="211">
        <v>0</v>
      </c>
      <c r="V611" s="213">
        <v>0</v>
      </c>
      <c r="W611" s="213">
        <v>0</v>
      </c>
    </row>
    <row r="612" spans="1:23" ht="15" customHeight="1">
      <c r="G612" s="26"/>
      <c r="H612" s="26"/>
      <c r="I612" s="26"/>
      <c r="J612" s="26"/>
      <c r="K612" s="26"/>
      <c r="L612" s="26"/>
      <c r="M612" s="26"/>
      <c r="N612" s="26"/>
      <c r="P612" s="202">
        <v>596</v>
      </c>
      <c r="Q612" s="210">
        <v>10</v>
      </c>
      <c r="R612" s="205" t="s">
        <v>508</v>
      </c>
      <c r="S612" s="206" t="s">
        <v>229</v>
      </c>
      <c r="T612" s="211">
        <v>0</v>
      </c>
      <c r="U612" s="211">
        <v>0</v>
      </c>
      <c r="V612" s="213">
        <v>0</v>
      </c>
      <c r="W612" s="213">
        <v>0</v>
      </c>
    </row>
    <row r="613" spans="1:23" ht="15" customHeight="1">
      <c r="C613" s="3">
        <v>10</v>
      </c>
      <c r="D613" s="15" t="s">
        <v>464</v>
      </c>
      <c r="E613" s="312" t="s">
        <v>79</v>
      </c>
      <c r="G613" s="26">
        <v>101214</v>
      </c>
      <c r="H613" s="26">
        <v>101446</v>
      </c>
      <c r="I613" s="26">
        <v>104389</v>
      </c>
      <c r="J613" s="26">
        <v>106459</v>
      </c>
      <c r="K613" s="26">
        <v>107117</v>
      </c>
      <c r="L613" s="26">
        <v>70357</v>
      </c>
      <c r="M613" s="26">
        <v>107117</v>
      </c>
      <c r="N613" s="26">
        <v>108509</v>
      </c>
      <c r="P613" s="202">
        <v>597</v>
      </c>
      <c r="Q613" s="210">
        <v>10</v>
      </c>
      <c r="R613" s="205" t="s">
        <v>509</v>
      </c>
      <c r="S613" s="206" t="s">
        <v>162</v>
      </c>
      <c r="T613" s="211">
        <v>50</v>
      </c>
      <c r="U613" s="211">
        <v>0</v>
      </c>
      <c r="V613" s="213">
        <v>0</v>
      </c>
      <c r="W613" s="213">
        <v>0</v>
      </c>
    </row>
    <row r="614" spans="1:23" ht="15" customHeight="1">
      <c r="C614" s="3">
        <v>10</v>
      </c>
      <c r="D614" s="15" t="s">
        <v>465</v>
      </c>
      <c r="E614" s="312" t="s">
        <v>81</v>
      </c>
      <c r="G614" s="26">
        <v>19126</v>
      </c>
      <c r="H614" s="26">
        <v>19977</v>
      </c>
      <c r="I614" s="26">
        <v>19977</v>
      </c>
      <c r="J614" s="26">
        <v>19977</v>
      </c>
      <c r="K614" s="26">
        <v>19977</v>
      </c>
      <c r="L614" s="26">
        <v>11376</v>
      </c>
      <c r="M614" s="26">
        <f>14705*1.33</f>
        <v>19557.650000000001</v>
      </c>
      <c r="N614" s="26">
        <v>19977</v>
      </c>
      <c r="P614" s="202">
        <v>598</v>
      </c>
      <c r="Q614" s="210">
        <v>10</v>
      </c>
      <c r="R614" s="205" t="s">
        <v>2623</v>
      </c>
      <c r="S614" s="206"/>
      <c r="T614" s="211"/>
      <c r="U614" s="211"/>
      <c r="V614" s="213"/>
      <c r="W614" s="213"/>
    </row>
    <row r="615" spans="1:23" ht="15" customHeight="1">
      <c r="C615" s="3">
        <v>10</v>
      </c>
      <c r="D615" s="15" t="s">
        <v>466</v>
      </c>
      <c r="E615" s="312" t="s">
        <v>83</v>
      </c>
      <c r="G615" s="26">
        <v>0</v>
      </c>
      <c r="H615" s="26">
        <v>135</v>
      </c>
      <c r="I615" s="26">
        <v>0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P615" s="202">
        <v>599</v>
      </c>
      <c r="Q615" s="210">
        <v>10</v>
      </c>
      <c r="R615" s="205" t="s">
        <v>135</v>
      </c>
      <c r="S615" s="206"/>
      <c r="T615" s="211">
        <v>21750</v>
      </c>
      <c r="U615" s="211">
        <v>1207</v>
      </c>
      <c r="V615" s="213">
        <v>12490.73</v>
      </c>
      <c r="W615" s="213">
        <v>0</v>
      </c>
    </row>
    <row r="616" spans="1:23" ht="15" customHeight="1">
      <c r="C616" s="3">
        <v>10</v>
      </c>
      <c r="D616" s="15" t="s">
        <v>467</v>
      </c>
      <c r="E616" s="312" t="s">
        <v>85</v>
      </c>
      <c r="G616" s="26">
        <v>281</v>
      </c>
      <c r="H616" s="26">
        <v>99</v>
      </c>
      <c r="I616" s="26">
        <v>567</v>
      </c>
      <c r="J616" s="26">
        <v>216</v>
      </c>
      <c r="K616" s="26">
        <v>704</v>
      </c>
      <c r="L616" s="26">
        <v>897</v>
      </c>
      <c r="M616" s="26">
        <f>896*1.33</f>
        <v>1191.68</v>
      </c>
      <c r="N616" s="26">
        <v>1200</v>
      </c>
      <c r="P616" s="202">
        <v>600</v>
      </c>
      <c r="Q616" s="210">
        <v>10</v>
      </c>
      <c r="R616" s="205" t="s">
        <v>163</v>
      </c>
      <c r="S616" s="206"/>
      <c r="T616" s="211"/>
      <c r="U616" s="211"/>
      <c r="V616" s="213"/>
      <c r="W616" s="213"/>
    </row>
    <row r="617" spans="1:23" ht="15" customHeight="1">
      <c r="C617" s="3">
        <v>10</v>
      </c>
      <c r="D617" s="15" t="s">
        <v>468</v>
      </c>
      <c r="E617" s="312" t="s">
        <v>87</v>
      </c>
      <c r="G617" s="26">
        <v>8100</v>
      </c>
      <c r="H617" s="26">
        <v>7894</v>
      </c>
      <c r="I617" s="26">
        <v>8147</v>
      </c>
      <c r="J617" s="26">
        <v>8333</v>
      </c>
      <c r="K617" s="26">
        <v>8216</v>
      </c>
      <c r="L617" s="26">
        <v>5377</v>
      </c>
      <c r="M617" s="26">
        <f>6723*1.33</f>
        <v>8941.59</v>
      </c>
      <c r="N617" s="26">
        <v>8234</v>
      </c>
      <c r="P617" s="202">
        <v>601</v>
      </c>
      <c r="Q617" s="210">
        <v>10</v>
      </c>
      <c r="R617" s="205" t="s">
        <v>2627</v>
      </c>
      <c r="S617" s="206"/>
      <c r="T617" s="211"/>
      <c r="U617" s="211"/>
      <c r="V617" s="213"/>
      <c r="W617" s="213"/>
    </row>
    <row r="618" spans="1:23" ht="15" customHeight="1">
      <c r="C618" s="3">
        <v>10</v>
      </c>
      <c r="D618" s="15" t="s">
        <v>469</v>
      </c>
      <c r="E618" s="312" t="s">
        <v>89</v>
      </c>
      <c r="G618" s="26">
        <v>15204</v>
      </c>
      <c r="H618" s="26">
        <v>14995</v>
      </c>
      <c r="I618" s="26">
        <v>16246</v>
      </c>
      <c r="J618" s="26">
        <v>17700</v>
      </c>
      <c r="K618" s="26">
        <v>17203</v>
      </c>
      <c r="L618" s="26">
        <v>11623</v>
      </c>
      <c r="M618" s="26">
        <f>14558*1.33</f>
        <v>19362.14</v>
      </c>
      <c r="N618" s="26">
        <v>18819</v>
      </c>
      <c r="P618" s="202">
        <v>602</v>
      </c>
      <c r="Q618" s="210">
        <v>10</v>
      </c>
      <c r="R618" s="205" t="s">
        <v>510</v>
      </c>
      <c r="S618" s="206" t="s">
        <v>433</v>
      </c>
      <c r="T618" s="211">
        <v>0</v>
      </c>
      <c r="U618" s="211">
        <v>0</v>
      </c>
      <c r="V618" s="213">
        <v>0</v>
      </c>
      <c r="W618" s="213">
        <v>0</v>
      </c>
    </row>
    <row r="619" spans="1:23" ht="15" customHeight="1">
      <c r="C619" s="3">
        <v>10</v>
      </c>
      <c r="D619" s="15" t="s">
        <v>470</v>
      </c>
      <c r="E619" s="312" t="s">
        <v>536</v>
      </c>
      <c r="G619" s="26">
        <v>0</v>
      </c>
      <c r="H619" s="26">
        <v>0</v>
      </c>
      <c r="I619" s="26">
        <v>0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P619" s="202">
        <v>603</v>
      </c>
      <c r="Q619" s="210">
        <v>10</v>
      </c>
      <c r="R619" s="205" t="s">
        <v>511</v>
      </c>
      <c r="S619" s="206" t="s">
        <v>435</v>
      </c>
      <c r="T619" s="211">
        <v>0</v>
      </c>
      <c r="U619" s="211">
        <v>0</v>
      </c>
      <c r="V619" s="213">
        <v>0</v>
      </c>
      <c r="W619" s="213">
        <v>0</v>
      </c>
    </row>
    <row r="620" spans="1:23" ht="15" customHeight="1">
      <c r="C620" s="3">
        <v>10</v>
      </c>
      <c r="D620" s="15" t="s">
        <v>471</v>
      </c>
      <c r="E620" s="312" t="s">
        <v>91</v>
      </c>
      <c r="G620" s="26">
        <v>3537</v>
      </c>
      <c r="H620" s="26">
        <v>1357</v>
      </c>
      <c r="I620" s="26">
        <v>1631</v>
      </c>
      <c r="J620" s="26">
        <v>1735</v>
      </c>
      <c r="K620" s="26">
        <v>1000</v>
      </c>
      <c r="L620" s="26">
        <v>166</v>
      </c>
      <c r="M620" s="26">
        <v>900</v>
      </c>
      <c r="N620" s="26">
        <v>900</v>
      </c>
      <c r="P620" s="202">
        <v>604</v>
      </c>
      <c r="Q620" s="210">
        <v>10</v>
      </c>
      <c r="R620" s="205" t="s">
        <v>512</v>
      </c>
      <c r="S620" s="206" t="s">
        <v>232</v>
      </c>
      <c r="T620" s="211">
        <v>1200</v>
      </c>
      <c r="U620" s="211">
        <v>30</v>
      </c>
      <c r="V620" s="213">
        <v>454.81</v>
      </c>
      <c r="W620" s="213">
        <v>37.9</v>
      </c>
    </row>
    <row r="621" spans="1:23" ht="15" customHeight="1">
      <c r="C621" s="3">
        <v>10</v>
      </c>
      <c r="D621" s="15" t="s">
        <v>472</v>
      </c>
      <c r="E621" s="312" t="s">
        <v>93</v>
      </c>
      <c r="G621" s="26">
        <v>0</v>
      </c>
      <c r="H621" s="26">
        <v>0</v>
      </c>
      <c r="I621" s="26">
        <v>0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P621" s="202">
        <v>605</v>
      </c>
      <c r="Q621" s="210">
        <v>10</v>
      </c>
      <c r="R621" s="205" t="s">
        <v>513</v>
      </c>
      <c r="S621" s="206" t="s">
        <v>440</v>
      </c>
      <c r="T621" s="211">
        <v>0</v>
      </c>
      <c r="U621" s="211">
        <v>0</v>
      </c>
      <c r="V621" s="213">
        <v>0</v>
      </c>
      <c r="W621" s="213">
        <v>0</v>
      </c>
    </row>
    <row r="622" spans="1:23" ht="15" customHeight="1">
      <c r="C622" s="3">
        <v>10</v>
      </c>
      <c r="D622" s="15" t="s">
        <v>473</v>
      </c>
      <c r="E622" s="312" t="s">
        <v>95</v>
      </c>
      <c r="G622" s="26">
        <v>0</v>
      </c>
      <c r="H622" s="26">
        <v>0</v>
      </c>
      <c r="I622" s="26">
        <v>0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P622" s="202">
        <v>606</v>
      </c>
      <c r="Q622" s="210">
        <v>10</v>
      </c>
      <c r="R622" s="205" t="s">
        <v>514</v>
      </c>
      <c r="S622" s="206" t="s">
        <v>329</v>
      </c>
      <c r="T622" s="211">
        <v>0</v>
      </c>
      <c r="U622" s="211">
        <v>0</v>
      </c>
      <c r="V622" s="213">
        <v>0</v>
      </c>
      <c r="W622" s="213">
        <v>0</v>
      </c>
    </row>
    <row r="623" spans="1:23" ht="15" customHeight="1">
      <c r="C623" s="3">
        <v>10</v>
      </c>
      <c r="D623" s="15" t="s">
        <v>474</v>
      </c>
      <c r="E623" s="312" t="s">
        <v>97</v>
      </c>
      <c r="G623" s="26">
        <v>2298</v>
      </c>
      <c r="H623" s="26">
        <v>1113</v>
      </c>
      <c r="I623" s="26">
        <v>1193</v>
      </c>
      <c r="J623" s="26">
        <v>1451</v>
      </c>
      <c r="K623" s="26">
        <v>1456</v>
      </c>
      <c r="L623" s="26">
        <v>518</v>
      </c>
      <c r="M623" s="26">
        <f>558*1.33</f>
        <v>742.14</v>
      </c>
      <c r="N623" s="26">
        <v>499</v>
      </c>
      <c r="P623" s="202">
        <v>607</v>
      </c>
      <c r="Q623" s="210">
        <v>10</v>
      </c>
      <c r="R623" s="205" t="s">
        <v>515</v>
      </c>
      <c r="S623" s="206" t="s">
        <v>165</v>
      </c>
      <c r="T623" s="211">
        <v>0</v>
      </c>
      <c r="U623" s="211">
        <v>0</v>
      </c>
      <c r="V623" s="213">
        <v>0</v>
      </c>
      <c r="W623" s="213">
        <v>0</v>
      </c>
    </row>
    <row r="624" spans="1:23" ht="15" customHeight="1">
      <c r="C624" s="3">
        <v>10</v>
      </c>
      <c r="D624" s="15" t="s">
        <v>475</v>
      </c>
      <c r="E624" s="312" t="s">
        <v>99</v>
      </c>
      <c r="G624" s="26">
        <v>176</v>
      </c>
      <c r="H624" s="26">
        <v>176</v>
      </c>
      <c r="I624" s="26">
        <v>176</v>
      </c>
      <c r="J624" s="26">
        <v>176</v>
      </c>
      <c r="K624" s="26">
        <v>177</v>
      </c>
      <c r="L624" s="26">
        <v>172</v>
      </c>
      <c r="M624" s="26">
        <f>171*1.33</f>
        <v>227.43</v>
      </c>
      <c r="N624" s="26">
        <v>227</v>
      </c>
      <c r="P624" s="202">
        <v>608</v>
      </c>
      <c r="Q624" s="210">
        <v>10</v>
      </c>
      <c r="R624" s="205" t="s">
        <v>516</v>
      </c>
      <c r="S624" s="206" t="s">
        <v>167</v>
      </c>
      <c r="T624" s="211">
        <v>1000</v>
      </c>
      <c r="U624" s="211">
        <v>99.47</v>
      </c>
      <c r="V624" s="213">
        <v>186.97</v>
      </c>
      <c r="W624" s="213">
        <v>18.7</v>
      </c>
    </row>
    <row r="625" spans="1:23" ht="15" customHeight="1">
      <c r="C625" s="3">
        <v>10</v>
      </c>
      <c r="D625" s="15" t="s">
        <v>476</v>
      </c>
      <c r="E625" s="312" t="s">
        <v>101</v>
      </c>
      <c r="G625" s="26">
        <v>0</v>
      </c>
      <c r="H625" s="26">
        <v>0</v>
      </c>
      <c r="I625" s="26">
        <v>0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P625" s="202">
        <v>609</v>
      </c>
      <c r="Q625" s="210">
        <v>10</v>
      </c>
      <c r="R625" s="205" t="s">
        <v>517</v>
      </c>
      <c r="S625" s="206" t="s">
        <v>169</v>
      </c>
      <c r="T625" s="211">
        <v>600</v>
      </c>
      <c r="U625" s="211">
        <v>13.63</v>
      </c>
      <c r="V625" s="213">
        <v>99.43</v>
      </c>
      <c r="W625" s="213">
        <v>16.57</v>
      </c>
    </row>
    <row r="626" spans="1:23" ht="15" customHeight="1">
      <c r="C626" s="3">
        <v>10</v>
      </c>
      <c r="D626" s="15" t="s">
        <v>477</v>
      </c>
      <c r="E626" s="312" t="s">
        <v>103</v>
      </c>
      <c r="G626" s="26">
        <v>0</v>
      </c>
      <c r="H626" s="26">
        <v>0</v>
      </c>
      <c r="I626" s="26">
        <v>0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P626" s="202">
        <v>610</v>
      </c>
      <c r="Q626" s="210">
        <v>10</v>
      </c>
      <c r="R626" s="205" t="s">
        <v>518</v>
      </c>
      <c r="S626" s="206" t="s">
        <v>171</v>
      </c>
      <c r="T626" s="211">
        <v>400</v>
      </c>
      <c r="U626" s="211">
        <v>0</v>
      </c>
      <c r="V626" s="213">
        <v>5.6</v>
      </c>
      <c r="W626" s="213">
        <v>1.4</v>
      </c>
    </row>
    <row r="627" spans="1:23" ht="15" customHeight="1">
      <c r="G627" s="26"/>
      <c r="H627" s="26"/>
      <c r="I627" s="26"/>
      <c r="J627" s="26"/>
      <c r="K627" s="26"/>
      <c r="L627" s="26"/>
      <c r="M627" s="26"/>
      <c r="N627" s="26"/>
      <c r="P627" s="202">
        <v>611</v>
      </c>
      <c r="Q627" s="210">
        <v>10</v>
      </c>
      <c r="R627" s="205" t="s">
        <v>519</v>
      </c>
      <c r="S627" s="206" t="s">
        <v>173</v>
      </c>
      <c r="T627" s="211">
        <v>0</v>
      </c>
      <c r="U627" s="211">
        <v>0</v>
      </c>
      <c r="V627" s="213">
        <v>0</v>
      </c>
      <c r="W627" s="213">
        <v>0</v>
      </c>
    </row>
    <row r="628" spans="1:23" s="72" customFormat="1" ht="15" customHeight="1">
      <c r="A628" s="5" t="s">
        <v>2410</v>
      </c>
      <c r="B628" s="5" t="s">
        <v>2317</v>
      </c>
      <c r="C628" s="3"/>
      <c r="D628" s="323" t="s">
        <v>2064</v>
      </c>
      <c r="E628" s="323"/>
      <c r="F628" s="324"/>
      <c r="G628" s="325">
        <f>SUM(G611:G627)</f>
        <v>149936</v>
      </c>
      <c r="H628" s="325">
        <f t="shared" ref="H628:N628" si="64">SUM(H611:H627)</f>
        <v>147192</v>
      </c>
      <c r="I628" s="325">
        <f t="shared" si="64"/>
        <v>152326</v>
      </c>
      <c r="J628" s="325">
        <f t="shared" si="64"/>
        <v>156047</v>
      </c>
      <c r="K628" s="325">
        <f t="shared" si="64"/>
        <v>155850</v>
      </c>
      <c r="L628" s="325">
        <f t="shared" si="64"/>
        <v>100486</v>
      </c>
      <c r="M628" s="325">
        <f t="shared" si="64"/>
        <v>158039.63</v>
      </c>
      <c r="N628" s="325">
        <f t="shared" si="64"/>
        <v>158365</v>
      </c>
      <c r="O628" s="286"/>
      <c r="P628" s="202">
        <v>612</v>
      </c>
      <c r="Q628" s="210">
        <v>10</v>
      </c>
      <c r="R628" s="205" t="s">
        <v>520</v>
      </c>
      <c r="S628" s="206" t="s">
        <v>175</v>
      </c>
      <c r="T628" s="211">
        <v>0</v>
      </c>
      <c r="U628" s="211">
        <v>0</v>
      </c>
      <c r="V628" s="213">
        <v>0</v>
      </c>
      <c r="W628" s="213">
        <v>0</v>
      </c>
    </row>
    <row r="629" spans="1:23" s="46" customFormat="1" ht="15" customHeight="1">
      <c r="A629" s="2"/>
      <c r="B629" s="2"/>
      <c r="C629" s="3"/>
      <c r="D629" s="47"/>
      <c r="E629" s="47"/>
      <c r="F629" s="191"/>
      <c r="G629" s="48"/>
      <c r="H629" s="48"/>
      <c r="I629" s="48"/>
      <c r="J629" s="48"/>
      <c r="K629" s="48"/>
      <c r="L629" s="48"/>
      <c r="M629" s="48"/>
      <c r="N629" s="48"/>
      <c r="O629" s="289"/>
      <c r="P629" s="202">
        <v>613</v>
      </c>
      <c r="Q629" s="210">
        <v>10</v>
      </c>
      <c r="R629" s="205" t="s">
        <v>521</v>
      </c>
      <c r="S629" s="206" t="s">
        <v>244</v>
      </c>
      <c r="T629" s="211">
        <v>300</v>
      </c>
      <c r="U629" s="211">
        <v>0</v>
      </c>
      <c r="V629" s="213">
        <v>0</v>
      </c>
      <c r="W629" s="213">
        <v>0</v>
      </c>
    </row>
    <row r="630" spans="1:23" s="5" customFormat="1" ht="15" customHeight="1">
      <c r="A630" s="2"/>
      <c r="B630" s="2"/>
      <c r="C630" s="3"/>
      <c r="D630" s="47" t="s">
        <v>2065</v>
      </c>
      <c r="E630" s="15"/>
      <c r="F630" s="105"/>
      <c r="G630" s="26"/>
      <c r="H630" s="26"/>
      <c r="I630" s="26"/>
      <c r="J630" s="26"/>
      <c r="K630" s="26"/>
      <c r="L630" s="26"/>
      <c r="M630" s="26"/>
      <c r="N630" s="26"/>
      <c r="O630" s="282"/>
      <c r="P630" s="202">
        <v>614</v>
      </c>
      <c r="Q630" s="210">
        <v>10</v>
      </c>
      <c r="R630" s="205" t="s">
        <v>2623</v>
      </c>
      <c r="S630" s="206"/>
      <c r="T630" s="211"/>
      <c r="U630" s="211"/>
      <c r="V630" s="213"/>
      <c r="W630" s="213"/>
    </row>
    <row r="631" spans="1:23" ht="15" customHeight="1">
      <c r="G631" s="26"/>
      <c r="H631" s="26"/>
      <c r="I631" s="26"/>
      <c r="J631" s="26"/>
      <c r="K631" s="26"/>
      <c r="L631" s="26"/>
      <c r="M631" s="26"/>
      <c r="N631" s="26"/>
      <c r="P631" s="202">
        <v>615</v>
      </c>
      <c r="Q631" s="210">
        <v>10</v>
      </c>
      <c r="R631" s="205" t="s">
        <v>163</v>
      </c>
      <c r="S631" s="206"/>
      <c r="T631" s="211">
        <v>3500</v>
      </c>
      <c r="U631" s="211">
        <v>143.1</v>
      </c>
      <c r="V631" s="213">
        <v>746.81</v>
      </c>
      <c r="W631" s="213">
        <v>0</v>
      </c>
    </row>
    <row r="632" spans="1:23" ht="15" customHeight="1">
      <c r="C632" s="3">
        <v>10</v>
      </c>
      <c r="D632" s="15" t="s">
        <v>478</v>
      </c>
      <c r="E632" s="312" t="s">
        <v>115</v>
      </c>
      <c r="G632" s="26">
        <v>0</v>
      </c>
      <c r="H632" s="26">
        <v>43</v>
      </c>
      <c r="I632" s="26">
        <v>160</v>
      </c>
      <c r="J632" s="26">
        <v>240</v>
      </c>
      <c r="K632" s="26">
        <v>200</v>
      </c>
      <c r="L632" s="26">
        <v>901</v>
      </c>
      <c r="M632" s="26">
        <v>1545</v>
      </c>
      <c r="N632" s="26">
        <v>200</v>
      </c>
      <c r="O632" s="285"/>
      <c r="P632" s="202">
        <v>616</v>
      </c>
      <c r="Q632" s="210">
        <v>10</v>
      </c>
      <c r="R632" s="205" t="s">
        <v>245</v>
      </c>
      <c r="S632" s="206"/>
      <c r="T632" s="211"/>
      <c r="U632" s="211"/>
      <c r="V632" s="213"/>
      <c r="W632" s="213"/>
    </row>
    <row r="633" spans="1:23" ht="15" customHeight="1">
      <c r="C633" s="3">
        <v>10</v>
      </c>
      <c r="D633" s="15" t="s">
        <v>479</v>
      </c>
      <c r="E633" s="312" t="s">
        <v>117</v>
      </c>
      <c r="G633" s="26">
        <v>86</v>
      </c>
      <c r="H633" s="26">
        <v>14</v>
      </c>
      <c r="I633" s="26">
        <v>24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285"/>
      <c r="P633" s="202">
        <v>617</v>
      </c>
      <c r="Q633" s="210">
        <v>10</v>
      </c>
      <c r="R633" s="205" t="s">
        <v>2628</v>
      </c>
      <c r="S633" s="206"/>
      <c r="T633" s="211"/>
      <c r="U633" s="211"/>
      <c r="V633" s="213"/>
      <c r="W633" s="213"/>
    </row>
    <row r="634" spans="1:23" ht="15" customHeight="1">
      <c r="C634" s="3">
        <v>10</v>
      </c>
      <c r="D634" s="15" t="s">
        <v>480</v>
      </c>
      <c r="E634" s="312" t="s">
        <v>119</v>
      </c>
      <c r="G634" s="26">
        <v>5</v>
      </c>
      <c r="H634" s="26">
        <v>0</v>
      </c>
      <c r="I634" s="26">
        <v>0</v>
      </c>
      <c r="J634" s="26">
        <v>6</v>
      </c>
      <c r="K634" s="26">
        <v>0</v>
      </c>
      <c r="L634" s="26">
        <v>4</v>
      </c>
      <c r="M634" s="26">
        <v>7</v>
      </c>
      <c r="N634" s="26">
        <v>0</v>
      </c>
      <c r="O634" s="285"/>
      <c r="P634" s="202">
        <v>618</v>
      </c>
      <c r="Q634" s="210">
        <v>10</v>
      </c>
      <c r="R634" s="205" t="s">
        <v>522</v>
      </c>
      <c r="S634" s="206" t="s">
        <v>329</v>
      </c>
      <c r="T634" s="211">
        <v>0</v>
      </c>
      <c r="U634" s="211">
        <v>0</v>
      </c>
      <c r="V634" s="213">
        <v>0</v>
      </c>
      <c r="W634" s="213">
        <v>0</v>
      </c>
    </row>
    <row r="635" spans="1:23" ht="15" customHeight="1">
      <c r="C635" s="3">
        <v>10</v>
      </c>
      <c r="D635" s="15" t="s">
        <v>481</v>
      </c>
      <c r="E635" s="312" t="s">
        <v>121</v>
      </c>
      <c r="G635" s="26">
        <v>263</v>
      </c>
      <c r="H635" s="26">
        <v>15</v>
      </c>
      <c r="I635" s="26">
        <v>0</v>
      </c>
      <c r="J635" s="26">
        <v>32</v>
      </c>
      <c r="K635" s="26">
        <v>250</v>
      </c>
      <c r="L635" s="26">
        <v>0</v>
      </c>
      <c r="M635" s="26">
        <v>0</v>
      </c>
      <c r="N635" s="26">
        <v>250</v>
      </c>
      <c r="O635" s="285"/>
      <c r="P635" s="202">
        <v>619</v>
      </c>
      <c r="Q635" s="210">
        <v>10</v>
      </c>
      <c r="R635" s="205" t="s">
        <v>523</v>
      </c>
      <c r="S635" s="206" t="s">
        <v>165</v>
      </c>
      <c r="T635" s="211">
        <v>0</v>
      </c>
      <c r="U635" s="211">
        <v>0</v>
      </c>
      <c r="V635" s="213">
        <v>0</v>
      </c>
      <c r="W635" s="213">
        <v>0</v>
      </c>
    </row>
    <row r="636" spans="1:23" ht="15" customHeight="1">
      <c r="C636" s="3">
        <v>10</v>
      </c>
      <c r="D636" s="15" t="s">
        <v>482</v>
      </c>
      <c r="E636" s="312" t="s">
        <v>123</v>
      </c>
      <c r="G636" s="26">
        <v>0</v>
      </c>
      <c r="H636" s="26">
        <v>24</v>
      </c>
      <c r="I636" s="26">
        <v>60</v>
      </c>
      <c r="J636" s="26">
        <v>25</v>
      </c>
      <c r="K636" s="26">
        <v>0</v>
      </c>
      <c r="L636" s="26">
        <v>0</v>
      </c>
      <c r="M636" s="26">
        <v>0</v>
      </c>
      <c r="N636" s="26">
        <v>0</v>
      </c>
      <c r="O636" s="285"/>
      <c r="P636" s="202">
        <v>620</v>
      </c>
      <c r="Q636" s="210">
        <v>10</v>
      </c>
      <c r="R636" s="205" t="s">
        <v>524</v>
      </c>
      <c r="S636" s="206" t="s">
        <v>167</v>
      </c>
      <c r="T636" s="211">
        <v>0</v>
      </c>
      <c r="U636" s="211">
        <v>0</v>
      </c>
      <c r="V636" s="213">
        <v>0</v>
      </c>
      <c r="W636" s="213">
        <v>0</v>
      </c>
    </row>
    <row r="637" spans="1:23" ht="15" customHeight="1">
      <c r="C637" s="3">
        <v>10</v>
      </c>
      <c r="D637" s="15" t="s">
        <v>483</v>
      </c>
      <c r="E637" s="312" t="s">
        <v>125</v>
      </c>
      <c r="G637" s="26">
        <v>112</v>
      </c>
      <c r="H637" s="26">
        <v>32</v>
      </c>
      <c r="I637" s="26">
        <v>0</v>
      </c>
      <c r="J637" s="26">
        <v>0</v>
      </c>
      <c r="K637" s="26">
        <v>200</v>
      </c>
      <c r="L637" s="26">
        <v>0</v>
      </c>
      <c r="M637" s="26">
        <v>0</v>
      </c>
      <c r="N637" s="26">
        <v>200</v>
      </c>
      <c r="O637" s="285"/>
      <c r="P637" s="202">
        <v>621</v>
      </c>
      <c r="Q637" s="210">
        <v>10</v>
      </c>
      <c r="R637" s="205" t="s">
        <v>525</v>
      </c>
      <c r="S637" s="206" t="s">
        <v>247</v>
      </c>
      <c r="T637" s="211">
        <v>0</v>
      </c>
      <c r="U637" s="211">
        <v>0</v>
      </c>
      <c r="V637" s="213">
        <v>0</v>
      </c>
      <c r="W637" s="213">
        <v>0</v>
      </c>
    </row>
    <row r="638" spans="1:23" ht="15" customHeight="1">
      <c r="C638" s="3">
        <v>10</v>
      </c>
      <c r="D638" s="15" t="s">
        <v>484</v>
      </c>
      <c r="E638" s="312" t="s">
        <v>106</v>
      </c>
      <c r="G638" s="26">
        <v>0</v>
      </c>
      <c r="H638" s="26">
        <v>954</v>
      </c>
      <c r="I638" s="26">
        <v>1115</v>
      </c>
      <c r="J638" s="26">
        <v>1486</v>
      </c>
      <c r="K638" s="26">
        <v>750</v>
      </c>
      <c r="L638" s="26">
        <v>481</v>
      </c>
      <c r="M638" s="26">
        <v>750</v>
      </c>
      <c r="N638" s="26">
        <v>750</v>
      </c>
      <c r="O638" s="285" t="s">
        <v>2927</v>
      </c>
      <c r="P638" s="202">
        <v>622</v>
      </c>
      <c r="Q638" s="210">
        <v>10</v>
      </c>
      <c r="R638" s="205" t="s">
        <v>526</v>
      </c>
      <c r="S638" s="206" t="s">
        <v>382</v>
      </c>
      <c r="T638" s="211">
        <v>0</v>
      </c>
      <c r="U638" s="211">
        <v>0</v>
      </c>
      <c r="V638" s="213">
        <v>0</v>
      </c>
      <c r="W638" s="213">
        <v>0</v>
      </c>
    </row>
    <row r="639" spans="1:23" ht="15" customHeight="1">
      <c r="C639" s="3">
        <v>10</v>
      </c>
      <c r="D639" s="15" t="s">
        <v>485</v>
      </c>
      <c r="E639" s="312" t="s">
        <v>197</v>
      </c>
      <c r="G639" s="26">
        <v>0</v>
      </c>
      <c r="H639" s="26">
        <v>0</v>
      </c>
      <c r="I639" s="26">
        <v>0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285"/>
      <c r="P639" s="202">
        <v>623</v>
      </c>
      <c r="Q639" s="210">
        <v>10</v>
      </c>
      <c r="R639" s="205" t="s">
        <v>527</v>
      </c>
      <c r="S639" s="206" t="s">
        <v>173</v>
      </c>
      <c r="T639" s="211">
        <v>0</v>
      </c>
      <c r="U639" s="211">
        <v>0</v>
      </c>
      <c r="V639" s="213">
        <v>0</v>
      </c>
      <c r="W639" s="213">
        <v>0</v>
      </c>
    </row>
    <row r="640" spans="1:23" ht="15" customHeight="1">
      <c r="C640" s="3">
        <v>10</v>
      </c>
      <c r="D640" s="15" t="s">
        <v>486</v>
      </c>
      <c r="E640" s="312" t="s">
        <v>128</v>
      </c>
      <c r="G640" s="26">
        <v>52</v>
      </c>
      <c r="H640" s="26">
        <v>0</v>
      </c>
      <c r="I640" s="26">
        <v>0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85"/>
      <c r="P640" s="202">
        <v>624</v>
      </c>
      <c r="Q640" s="210">
        <v>10</v>
      </c>
      <c r="R640" s="205" t="s">
        <v>528</v>
      </c>
      <c r="S640" s="206" t="s">
        <v>244</v>
      </c>
      <c r="T640" s="211">
        <v>0</v>
      </c>
      <c r="U640" s="211">
        <v>0</v>
      </c>
      <c r="V640" s="213">
        <v>0</v>
      </c>
      <c r="W640" s="213">
        <v>0</v>
      </c>
    </row>
    <row r="641" spans="1:23" ht="15" customHeight="1">
      <c r="C641" s="3">
        <v>10</v>
      </c>
      <c r="D641" s="15" t="s">
        <v>487</v>
      </c>
      <c r="E641" s="312" t="s">
        <v>200</v>
      </c>
      <c r="G641" s="26">
        <v>787</v>
      </c>
      <c r="H641" s="26">
        <v>857</v>
      </c>
      <c r="I641" s="26">
        <v>1188</v>
      </c>
      <c r="J641" s="26">
        <v>1284</v>
      </c>
      <c r="K641" s="26">
        <v>1350</v>
      </c>
      <c r="L641" s="26">
        <v>590</v>
      </c>
      <c r="M641" s="26">
        <v>1012</v>
      </c>
      <c r="N641" s="26">
        <v>1350</v>
      </c>
      <c r="O641" s="285"/>
      <c r="P641" s="202">
        <v>625</v>
      </c>
      <c r="Q641" s="210">
        <v>10</v>
      </c>
      <c r="R641" s="205" t="s">
        <v>2623</v>
      </c>
      <c r="S641" s="206"/>
      <c r="T641" s="211"/>
      <c r="U641" s="211"/>
      <c r="V641" s="213"/>
      <c r="W641" s="213"/>
    </row>
    <row r="642" spans="1:23" ht="15" customHeight="1">
      <c r="C642" s="3">
        <v>10</v>
      </c>
      <c r="D642" s="15" t="s">
        <v>488</v>
      </c>
      <c r="E642" s="312" t="s">
        <v>202</v>
      </c>
      <c r="G642" s="26">
        <v>0</v>
      </c>
      <c r="H642" s="26">
        <v>0</v>
      </c>
      <c r="I642" s="26">
        <v>0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85"/>
      <c r="P642" s="202">
        <v>626</v>
      </c>
      <c r="Q642" s="210">
        <v>10</v>
      </c>
      <c r="R642" s="205" t="s">
        <v>245</v>
      </c>
      <c r="S642" s="206"/>
      <c r="T642" s="211">
        <v>0</v>
      </c>
      <c r="U642" s="211">
        <v>0</v>
      </c>
      <c r="V642" s="213">
        <v>0</v>
      </c>
      <c r="W642" s="213">
        <v>0</v>
      </c>
    </row>
    <row r="643" spans="1:23" ht="15" customHeight="1">
      <c r="C643" s="3">
        <v>10</v>
      </c>
      <c r="D643" s="15" t="s">
        <v>489</v>
      </c>
      <c r="E643" s="312" t="s">
        <v>130</v>
      </c>
      <c r="G643" s="26">
        <v>4051</v>
      </c>
      <c r="H643" s="26">
        <v>1019</v>
      </c>
      <c r="I643" s="26">
        <v>611</v>
      </c>
      <c r="J643" s="26">
        <v>402</v>
      </c>
      <c r="K643" s="26">
        <v>500</v>
      </c>
      <c r="L643" s="26">
        <v>68</v>
      </c>
      <c r="M643" s="26">
        <v>117</v>
      </c>
      <c r="N643" s="26">
        <v>500</v>
      </c>
      <c r="O643" s="285"/>
      <c r="P643" s="202">
        <v>627</v>
      </c>
      <c r="Q643" s="210">
        <v>10</v>
      </c>
      <c r="R643" s="205" t="s">
        <v>2623</v>
      </c>
      <c r="S643" s="206"/>
      <c r="T643" s="211"/>
      <c r="U643" s="211"/>
      <c r="V643" s="213"/>
      <c r="W643" s="213"/>
    </row>
    <row r="644" spans="1:23" ht="15" customHeight="1">
      <c r="C644" s="3">
        <v>10</v>
      </c>
      <c r="D644" s="15" t="s">
        <v>490</v>
      </c>
      <c r="E644" s="312" t="s">
        <v>132</v>
      </c>
      <c r="G644" s="26">
        <v>1151</v>
      </c>
      <c r="H644" s="26">
        <v>507</v>
      </c>
      <c r="I644" s="26">
        <v>468</v>
      </c>
      <c r="J644" s="26">
        <v>516</v>
      </c>
      <c r="K644" s="26">
        <v>500</v>
      </c>
      <c r="L644" s="26">
        <v>139</v>
      </c>
      <c r="M644" s="26">
        <v>239</v>
      </c>
      <c r="N644" s="26">
        <v>500</v>
      </c>
      <c r="O644" s="285"/>
      <c r="P644" s="202">
        <v>628</v>
      </c>
      <c r="Q644" s="210">
        <v>10</v>
      </c>
      <c r="R644" s="205" t="s">
        <v>7</v>
      </c>
      <c r="S644" s="206"/>
      <c r="T644" s="211">
        <v>187000</v>
      </c>
      <c r="U644" s="211">
        <v>14393.45</v>
      </c>
      <c r="V644" s="213">
        <v>129967.62</v>
      </c>
      <c r="W644" s="213">
        <v>69.5</v>
      </c>
    </row>
    <row r="645" spans="1:23" ht="15" customHeight="1">
      <c r="C645" s="3">
        <v>10</v>
      </c>
      <c r="D645" s="15" t="s">
        <v>491</v>
      </c>
      <c r="E645" s="312" t="s">
        <v>206</v>
      </c>
      <c r="G645" s="26">
        <v>1835</v>
      </c>
      <c r="H645" s="26">
        <v>1668</v>
      </c>
      <c r="I645" s="26">
        <v>2101</v>
      </c>
      <c r="J645" s="26">
        <v>1813</v>
      </c>
      <c r="K645" s="26">
        <v>1750</v>
      </c>
      <c r="L645" s="26">
        <v>1010</v>
      </c>
      <c r="M645" s="26">
        <v>1732</v>
      </c>
      <c r="N645" s="26">
        <v>1750</v>
      </c>
      <c r="O645" s="285"/>
      <c r="P645" s="202">
        <v>629</v>
      </c>
      <c r="Q645" s="210">
        <v>10</v>
      </c>
      <c r="R645" s="205" t="s">
        <v>2621</v>
      </c>
      <c r="S645" s="206"/>
      <c r="T645" s="211"/>
      <c r="U645" s="211"/>
      <c r="V645" s="213"/>
      <c r="W645" s="213"/>
    </row>
    <row r="646" spans="1:23" ht="15" customHeight="1">
      <c r="C646" s="3">
        <v>10</v>
      </c>
      <c r="D646" s="15" t="s">
        <v>492</v>
      </c>
      <c r="E646" s="312" t="s">
        <v>208</v>
      </c>
      <c r="G646" s="26">
        <v>0</v>
      </c>
      <c r="H646" s="26">
        <v>0</v>
      </c>
      <c r="I646" s="26">
        <v>0</v>
      </c>
      <c r="J646" s="26">
        <v>323</v>
      </c>
      <c r="K646" s="26">
        <v>100</v>
      </c>
      <c r="L646" s="26">
        <v>0</v>
      </c>
      <c r="M646" s="26">
        <v>0</v>
      </c>
      <c r="N646" s="26">
        <v>100</v>
      </c>
      <c r="O646" s="285"/>
      <c r="P646" s="202">
        <v>630</v>
      </c>
      <c r="Q646" s="210">
        <v>10</v>
      </c>
      <c r="R646" s="205" t="s">
        <v>2622</v>
      </c>
      <c r="S646" s="206"/>
      <c r="T646" s="211"/>
      <c r="U646" s="211"/>
      <c r="V646" s="213"/>
      <c r="W646" s="213"/>
    </row>
    <row r="647" spans="1:23" ht="15" customHeight="1">
      <c r="C647" s="3">
        <v>10</v>
      </c>
      <c r="D647" s="15" t="s">
        <v>493</v>
      </c>
      <c r="E647" s="312" t="s">
        <v>210</v>
      </c>
      <c r="G647" s="26">
        <v>141</v>
      </c>
      <c r="H647" s="26">
        <v>138</v>
      </c>
      <c r="I647" s="26">
        <v>160</v>
      </c>
      <c r="J647" s="26">
        <v>69</v>
      </c>
      <c r="K647" s="26">
        <v>300</v>
      </c>
      <c r="L647" s="26">
        <v>8</v>
      </c>
      <c r="M647" s="26">
        <v>14</v>
      </c>
      <c r="N647" s="26">
        <v>300</v>
      </c>
      <c r="O647" s="285"/>
      <c r="P647" s="202">
        <v>631</v>
      </c>
      <c r="Q647" s="210">
        <v>10</v>
      </c>
      <c r="R647" s="205" t="s">
        <v>529</v>
      </c>
      <c r="S647" s="206" t="s">
        <v>79</v>
      </c>
      <c r="T647" s="211">
        <v>1082703</v>
      </c>
      <c r="U647" s="211">
        <v>91200.44</v>
      </c>
      <c r="V647" s="213">
        <v>713807.65</v>
      </c>
      <c r="W647" s="213">
        <v>65.930000000000007</v>
      </c>
    </row>
    <row r="648" spans="1:23" ht="15" customHeight="1">
      <c r="C648" s="3">
        <v>10</v>
      </c>
      <c r="D648" s="15" t="s">
        <v>494</v>
      </c>
      <c r="E648" s="312" t="s">
        <v>134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85"/>
      <c r="P648" s="202">
        <v>632</v>
      </c>
      <c r="Q648" s="210">
        <v>10</v>
      </c>
      <c r="R648" s="205" t="s">
        <v>530</v>
      </c>
      <c r="S648" s="206" t="s">
        <v>81</v>
      </c>
      <c r="T648" s="211">
        <v>199341</v>
      </c>
      <c r="U648" s="211">
        <v>17202.52</v>
      </c>
      <c r="V648" s="213">
        <v>139839.84</v>
      </c>
      <c r="W648" s="213">
        <v>70.150000000000006</v>
      </c>
    </row>
    <row r="649" spans="1:23" ht="15" customHeight="1">
      <c r="C649" s="3">
        <v>10</v>
      </c>
      <c r="D649" s="15" t="s">
        <v>495</v>
      </c>
      <c r="E649" s="312" t="s">
        <v>213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85"/>
      <c r="P649" s="202">
        <v>633</v>
      </c>
      <c r="Q649" s="210">
        <v>10</v>
      </c>
      <c r="R649" s="205" t="s">
        <v>531</v>
      </c>
      <c r="S649" s="206" t="s">
        <v>83</v>
      </c>
      <c r="T649" s="211">
        <v>0</v>
      </c>
      <c r="U649" s="211">
        <v>0</v>
      </c>
      <c r="V649" s="213">
        <v>0</v>
      </c>
      <c r="W649" s="213">
        <v>0</v>
      </c>
    </row>
    <row r="650" spans="1:23" ht="15" customHeight="1">
      <c r="G650" s="26"/>
      <c r="H650" s="26"/>
      <c r="I650" s="26"/>
      <c r="J650" s="26"/>
      <c r="K650" s="26"/>
      <c r="L650" s="26"/>
      <c r="M650" s="26"/>
      <c r="N650" s="26"/>
      <c r="P650" s="202">
        <v>634</v>
      </c>
      <c r="Q650" s="210">
        <v>10</v>
      </c>
      <c r="R650" s="205" t="s">
        <v>532</v>
      </c>
      <c r="S650" s="206" t="s">
        <v>85</v>
      </c>
      <c r="T650" s="211">
        <v>8853</v>
      </c>
      <c r="U650" s="211">
        <v>0</v>
      </c>
      <c r="V650" s="213">
        <v>7428.15</v>
      </c>
      <c r="W650" s="213">
        <v>83.91</v>
      </c>
    </row>
    <row r="651" spans="1:23" s="200" customFormat="1" ht="15" customHeight="1">
      <c r="A651" s="196" t="s">
        <v>104</v>
      </c>
      <c r="B651" s="196" t="s">
        <v>2317</v>
      </c>
      <c r="C651" s="75"/>
      <c r="D651" s="323" t="s">
        <v>2066</v>
      </c>
      <c r="E651" s="323"/>
      <c r="F651" s="324"/>
      <c r="G651" s="325">
        <f>SUM(G630:G650)</f>
        <v>8483</v>
      </c>
      <c r="H651" s="325">
        <f t="shared" ref="H651:N651" si="65">SUM(H630:H650)</f>
        <v>5271</v>
      </c>
      <c r="I651" s="325">
        <f t="shared" si="65"/>
        <v>5887</v>
      </c>
      <c r="J651" s="325">
        <f t="shared" si="65"/>
        <v>6196</v>
      </c>
      <c r="K651" s="325">
        <f t="shared" si="65"/>
        <v>5900</v>
      </c>
      <c r="L651" s="325">
        <f t="shared" si="65"/>
        <v>3201</v>
      </c>
      <c r="M651" s="325">
        <f t="shared" si="65"/>
        <v>5416</v>
      </c>
      <c r="N651" s="325">
        <f t="shared" si="65"/>
        <v>5900</v>
      </c>
      <c r="O651" s="287"/>
      <c r="P651" s="202">
        <v>635</v>
      </c>
      <c r="Q651" s="210">
        <v>10</v>
      </c>
      <c r="R651" s="205" t="s">
        <v>533</v>
      </c>
      <c r="S651" s="206" t="s">
        <v>87</v>
      </c>
      <c r="T651" s="211">
        <v>84607</v>
      </c>
      <c r="U651" s="211">
        <v>6888.3</v>
      </c>
      <c r="V651" s="213">
        <v>54231.48</v>
      </c>
      <c r="W651" s="213">
        <v>64.099999999999994</v>
      </c>
    </row>
    <row r="652" spans="1:23" s="46" customFormat="1" ht="15" customHeight="1">
      <c r="A652" s="2"/>
      <c r="B652" s="2"/>
      <c r="C652" s="3"/>
      <c r="D652" s="47"/>
      <c r="E652" s="47"/>
      <c r="F652" s="191"/>
      <c r="G652" s="48"/>
      <c r="H652" s="48"/>
      <c r="I652" s="48"/>
      <c r="J652" s="48"/>
      <c r="K652" s="48"/>
      <c r="L652" s="48"/>
      <c r="M652" s="48"/>
      <c r="N652" s="48"/>
      <c r="O652" s="289"/>
      <c r="P652" s="202">
        <v>636</v>
      </c>
      <c r="Q652" s="210">
        <v>10</v>
      </c>
      <c r="R652" s="205" t="s">
        <v>534</v>
      </c>
      <c r="S652" s="206" t="s">
        <v>89</v>
      </c>
      <c r="T652" s="211">
        <v>173882</v>
      </c>
      <c r="U652" s="211">
        <v>15230.37</v>
      </c>
      <c r="V652" s="213">
        <v>120584.08</v>
      </c>
      <c r="W652" s="213">
        <v>69.349999999999994</v>
      </c>
    </row>
    <row r="653" spans="1:23" ht="15" customHeight="1">
      <c r="D653" s="47" t="s">
        <v>2067</v>
      </c>
      <c r="G653" s="26"/>
      <c r="H653" s="26"/>
      <c r="I653" s="26"/>
      <c r="J653" s="26"/>
      <c r="K653" s="26"/>
      <c r="L653" s="26"/>
      <c r="M653" s="26"/>
      <c r="N653" s="26"/>
      <c r="P653" s="202">
        <v>637</v>
      </c>
      <c r="Q653" s="210">
        <v>10</v>
      </c>
      <c r="R653" s="205" t="s">
        <v>535</v>
      </c>
      <c r="S653" s="206" t="s">
        <v>536</v>
      </c>
      <c r="T653" s="211">
        <v>0</v>
      </c>
      <c r="U653" s="211">
        <v>0</v>
      </c>
      <c r="V653" s="213">
        <v>0</v>
      </c>
      <c r="W653" s="213">
        <v>0</v>
      </c>
    </row>
    <row r="654" spans="1:23" ht="15" customHeight="1">
      <c r="G654" s="26"/>
      <c r="H654" s="26"/>
      <c r="I654" s="26"/>
      <c r="J654" s="26"/>
      <c r="K654" s="26"/>
      <c r="L654" s="26"/>
      <c r="M654" s="26"/>
      <c r="N654" s="26"/>
      <c r="P654" s="202">
        <v>638</v>
      </c>
      <c r="Q654" s="210">
        <v>10</v>
      </c>
      <c r="R654" s="205" t="s">
        <v>537</v>
      </c>
      <c r="S654" s="206" t="s">
        <v>91</v>
      </c>
      <c r="T654" s="211">
        <v>30000</v>
      </c>
      <c r="U654" s="211">
        <v>882.83</v>
      </c>
      <c r="V654" s="213">
        <v>12448.01</v>
      </c>
      <c r="W654" s="213">
        <v>41.49</v>
      </c>
    </row>
    <row r="655" spans="1:23" ht="15" customHeight="1">
      <c r="C655" s="3">
        <v>10</v>
      </c>
      <c r="D655" s="15" t="s">
        <v>496</v>
      </c>
      <c r="E655" s="312" t="s">
        <v>137</v>
      </c>
      <c r="G655" s="26">
        <v>1386</v>
      </c>
      <c r="H655" s="26">
        <v>1497</v>
      </c>
      <c r="I655" s="26">
        <v>1438</v>
      </c>
      <c r="J655" s="26">
        <v>1453</v>
      </c>
      <c r="K655" s="26">
        <v>1450</v>
      </c>
      <c r="L655" s="26">
        <v>871</v>
      </c>
      <c r="M655" s="26">
        <v>1</v>
      </c>
      <c r="N655" s="26">
        <v>1450</v>
      </c>
      <c r="O655" s="285"/>
      <c r="P655" s="202">
        <v>639</v>
      </c>
      <c r="Q655" s="210">
        <v>10</v>
      </c>
      <c r="R655" s="205" t="s">
        <v>538</v>
      </c>
      <c r="S655" s="206" t="s">
        <v>539</v>
      </c>
      <c r="T655" s="211">
        <v>0</v>
      </c>
      <c r="U655" s="211">
        <v>0</v>
      </c>
      <c r="V655" s="213">
        <v>0</v>
      </c>
      <c r="W655" s="213">
        <v>0</v>
      </c>
    </row>
    <row r="656" spans="1:23" ht="15" customHeight="1">
      <c r="C656" s="3">
        <v>10</v>
      </c>
      <c r="D656" s="15" t="s">
        <v>497</v>
      </c>
      <c r="E656" s="312" t="s">
        <v>216</v>
      </c>
      <c r="G656" s="26">
        <v>0</v>
      </c>
      <c r="H656" s="26">
        <v>0</v>
      </c>
      <c r="I656" s="26">
        <v>0</v>
      </c>
      <c r="J656" s="26">
        <v>0</v>
      </c>
      <c r="K656" s="26">
        <v>0</v>
      </c>
      <c r="L656" s="26">
        <v>0</v>
      </c>
      <c r="M656" s="26">
        <v>0</v>
      </c>
      <c r="N656" s="26">
        <v>0</v>
      </c>
      <c r="O656" s="285"/>
      <c r="P656" s="202">
        <v>640</v>
      </c>
      <c r="Q656" s="210">
        <v>10</v>
      </c>
      <c r="R656" s="205" t="s">
        <v>540</v>
      </c>
      <c r="S656" s="206" t="s">
        <v>93</v>
      </c>
      <c r="T656" s="211">
        <v>0</v>
      </c>
      <c r="U656" s="211">
        <v>0</v>
      </c>
      <c r="V656" s="213">
        <v>0</v>
      </c>
      <c r="W656" s="213">
        <v>0</v>
      </c>
    </row>
    <row r="657" spans="1:23" ht="15" customHeight="1">
      <c r="C657" s="3">
        <v>10</v>
      </c>
      <c r="D657" s="15" t="s">
        <v>498</v>
      </c>
      <c r="E657" s="312" t="s">
        <v>139</v>
      </c>
      <c r="G657" s="26">
        <v>157</v>
      </c>
      <c r="H657" s="26">
        <v>43</v>
      </c>
      <c r="I657" s="26">
        <v>109</v>
      </c>
      <c r="J657" s="26">
        <v>144</v>
      </c>
      <c r="K657" s="26">
        <v>500</v>
      </c>
      <c r="L657" s="26">
        <v>207</v>
      </c>
      <c r="M657" s="26">
        <v>355</v>
      </c>
      <c r="N657" s="26">
        <v>1500</v>
      </c>
      <c r="O657" s="285" t="s">
        <v>2842</v>
      </c>
      <c r="P657" s="202">
        <v>641</v>
      </c>
      <c r="Q657" s="210">
        <v>10</v>
      </c>
      <c r="R657" s="205" t="s">
        <v>541</v>
      </c>
      <c r="S657" s="206" t="s">
        <v>95</v>
      </c>
      <c r="T657" s="211">
        <v>6300</v>
      </c>
      <c r="U657" s="211">
        <v>625</v>
      </c>
      <c r="V657" s="213">
        <v>4825</v>
      </c>
      <c r="W657" s="213">
        <v>76.59</v>
      </c>
    </row>
    <row r="658" spans="1:23" ht="15" customHeight="1">
      <c r="C658" s="3">
        <v>10</v>
      </c>
      <c r="D658" s="15" t="s">
        <v>499</v>
      </c>
      <c r="E658" s="312" t="s">
        <v>141</v>
      </c>
      <c r="G658" s="26">
        <v>0</v>
      </c>
      <c r="H658" s="26">
        <v>0</v>
      </c>
      <c r="I658" s="26">
        <v>0</v>
      </c>
      <c r="J658" s="26">
        <v>0</v>
      </c>
      <c r="K658" s="26">
        <v>0</v>
      </c>
      <c r="L658" s="26">
        <v>0</v>
      </c>
      <c r="M658" s="26">
        <v>0</v>
      </c>
      <c r="N658" s="26">
        <v>0</v>
      </c>
      <c r="O658" s="285"/>
      <c r="P658" s="202">
        <v>642</v>
      </c>
      <c r="Q658" s="210">
        <v>10</v>
      </c>
      <c r="R658" s="205" t="s">
        <v>542</v>
      </c>
      <c r="S658" s="206" t="s">
        <v>97</v>
      </c>
      <c r="T658" s="211">
        <v>8461</v>
      </c>
      <c r="U658" s="211">
        <v>787</v>
      </c>
      <c r="V658" s="213">
        <v>6027</v>
      </c>
      <c r="W658" s="213">
        <v>71.23</v>
      </c>
    </row>
    <row r="659" spans="1:23" ht="15" customHeight="1">
      <c r="C659" s="3">
        <v>10</v>
      </c>
      <c r="D659" s="15" t="s">
        <v>500</v>
      </c>
      <c r="E659" s="312" t="s">
        <v>143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85"/>
      <c r="P659" s="202">
        <v>643</v>
      </c>
      <c r="Q659" s="210">
        <v>10</v>
      </c>
      <c r="R659" s="205" t="s">
        <v>543</v>
      </c>
      <c r="S659" s="206" t="s">
        <v>99</v>
      </c>
      <c r="T659" s="211">
        <v>1889</v>
      </c>
      <c r="U659" s="211">
        <v>0</v>
      </c>
      <c r="V659" s="213">
        <v>1774.44</v>
      </c>
      <c r="W659" s="213">
        <v>93.94</v>
      </c>
    </row>
    <row r="660" spans="1:23" ht="15" customHeight="1">
      <c r="C660" s="3">
        <v>10</v>
      </c>
      <c r="D660" s="15" t="s">
        <v>501</v>
      </c>
      <c r="E660" s="312" t="s">
        <v>145</v>
      </c>
      <c r="G660" s="26">
        <v>21991</v>
      </c>
      <c r="H660" s="26">
        <v>19237</v>
      </c>
      <c r="I660" s="26">
        <v>14158</v>
      </c>
      <c r="J660" s="26">
        <v>14307</v>
      </c>
      <c r="K660" s="26">
        <v>15000</v>
      </c>
      <c r="L660" s="26">
        <v>7715</v>
      </c>
      <c r="M660" s="26">
        <v>13226</v>
      </c>
      <c r="N660" s="26">
        <v>15000</v>
      </c>
      <c r="O660" s="285"/>
      <c r="P660" s="202">
        <v>644</v>
      </c>
      <c r="Q660" s="210">
        <v>10</v>
      </c>
      <c r="R660" s="205" t="s">
        <v>544</v>
      </c>
      <c r="S660" s="206" t="s">
        <v>101</v>
      </c>
      <c r="T660" s="211">
        <v>0</v>
      </c>
      <c r="U660" s="211">
        <v>0</v>
      </c>
      <c r="V660" s="213">
        <v>0</v>
      </c>
      <c r="W660" s="213">
        <v>0</v>
      </c>
    </row>
    <row r="661" spans="1:23" ht="15" customHeight="1">
      <c r="C661" s="3">
        <v>10</v>
      </c>
      <c r="D661" s="15" t="s">
        <v>502</v>
      </c>
      <c r="E661" s="312" t="s">
        <v>147</v>
      </c>
      <c r="G661" s="26">
        <v>0</v>
      </c>
      <c r="H661" s="26">
        <v>11</v>
      </c>
      <c r="I661" s="26">
        <v>0</v>
      </c>
      <c r="J661" s="26">
        <v>0</v>
      </c>
      <c r="K661" s="26">
        <v>50</v>
      </c>
      <c r="L661" s="26">
        <v>0</v>
      </c>
      <c r="M661" s="26">
        <v>0</v>
      </c>
      <c r="N661" s="26">
        <v>50</v>
      </c>
      <c r="O661" s="285"/>
      <c r="P661" s="202">
        <v>645</v>
      </c>
      <c r="Q661" s="210">
        <v>10</v>
      </c>
      <c r="R661" s="205" t="s">
        <v>545</v>
      </c>
      <c r="S661" s="206" t="s">
        <v>103</v>
      </c>
      <c r="T661" s="211">
        <v>0</v>
      </c>
      <c r="U661" s="211">
        <v>0</v>
      </c>
      <c r="V661" s="213">
        <v>0</v>
      </c>
      <c r="W661" s="213">
        <v>0</v>
      </c>
    </row>
    <row r="662" spans="1:23" ht="15" customHeight="1">
      <c r="C662" s="3">
        <v>10</v>
      </c>
      <c r="D662" s="15" t="s">
        <v>503</v>
      </c>
      <c r="E662" s="312" t="s">
        <v>149</v>
      </c>
      <c r="G662" s="26">
        <v>1864</v>
      </c>
      <c r="H662" s="26">
        <v>101</v>
      </c>
      <c r="I662" s="26">
        <v>219</v>
      </c>
      <c r="J662" s="26">
        <v>0</v>
      </c>
      <c r="K662" s="26">
        <v>500</v>
      </c>
      <c r="L662" s="26">
        <v>0</v>
      </c>
      <c r="M662" s="26">
        <v>0</v>
      </c>
      <c r="N662" s="26">
        <v>500</v>
      </c>
      <c r="O662" s="285"/>
      <c r="P662" s="202">
        <v>646</v>
      </c>
      <c r="Q662" s="210">
        <v>10</v>
      </c>
      <c r="R662" s="205" t="s">
        <v>2623</v>
      </c>
      <c r="S662" s="206"/>
      <c r="T662" s="211"/>
      <c r="U662" s="211"/>
      <c r="V662" s="213"/>
      <c r="W662" s="213"/>
    </row>
    <row r="663" spans="1:23" ht="15" customHeight="1">
      <c r="C663" s="3">
        <v>10</v>
      </c>
      <c r="D663" s="15" t="s">
        <v>504</v>
      </c>
      <c r="E663" s="312" t="s">
        <v>151</v>
      </c>
      <c r="G663" s="26">
        <v>0</v>
      </c>
      <c r="H663" s="26">
        <v>0</v>
      </c>
      <c r="I663" s="26">
        <v>0</v>
      </c>
      <c r="J663" s="26">
        <v>0</v>
      </c>
      <c r="K663" s="26">
        <v>0</v>
      </c>
      <c r="L663" s="26">
        <v>0</v>
      </c>
      <c r="M663" s="26">
        <v>0</v>
      </c>
      <c r="N663" s="26">
        <v>0</v>
      </c>
      <c r="O663" s="285"/>
      <c r="P663" s="202">
        <v>647</v>
      </c>
      <c r="Q663" s="210">
        <v>10</v>
      </c>
      <c r="R663" s="205" t="s">
        <v>2621</v>
      </c>
      <c r="S663" s="206"/>
      <c r="T663" s="211">
        <v>1596036</v>
      </c>
      <c r="U663" s="211">
        <v>132816.46</v>
      </c>
      <c r="V663" s="213">
        <v>1060965.6499999999</v>
      </c>
      <c r="W663" s="213">
        <v>0</v>
      </c>
    </row>
    <row r="664" spans="1:23" ht="15" customHeight="1">
      <c r="C664" s="3">
        <v>10</v>
      </c>
      <c r="D664" s="15" t="s">
        <v>505</v>
      </c>
      <c r="E664" s="312" t="s">
        <v>153</v>
      </c>
      <c r="G664" s="26">
        <v>59</v>
      </c>
      <c r="H664" s="26">
        <v>0</v>
      </c>
      <c r="I664" s="26">
        <v>240</v>
      </c>
      <c r="J664" s="26">
        <v>0</v>
      </c>
      <c r="K664" s="26">
        <v>0</v>
      </c>
      <c r="L664" s="26">
        <v>0</v>
      </c>
      <c r="M664" s="26">
        <v>0</v>
      </c>
      <c r="N664" s="26">
        <v>0</v>
      </c>
      <c r="O664" s="285"/>
      <c r="P664" s="202">
        <v>648</v>
      </c>
      <c r="Q664" s="210">
        <v>10</v>
      </c>
      <c r="R664" s="205" t="s">
        <v>104</v>
      </c>
      <c r="S664" s="206"/>
      <c r="T664" s="211"/>
      <c r="U664" s="211"/>
      <c r="V664" s="213"/>
      <c r="W664" s="213"/>
    </row>
    <row r="665" spans="1:23" ht="15" customHeight="1">
      <c r="C665" s="3">
        <v>10</v>
      </c>
      <c r="D665" s="15" t="s">
        <v>506</v>
      </c>
      <c r="E665" s="312" t="s">
        <v>157</v>
      </c>
      <c r="G665" s="26">
        <v>3878</v>
      </c>
      <c r="H665" s="26">
        <v>4350</v>
      </c>
      <c r="I665" s="26">
        <v>4665</v>
      </c>
      <c r="J665" s="26">
        <v>4771</v>
      </c>
      <c r="K665" s="26">
        <v>4200</v>
      </c>
      <c r="L665" s="26">
        <v>2490</v>
      </c>
      <c r="M665" s="26">
        <v>4269</v>
      </c>
      <c r="N665" s="26">
        <v>4200</v>
      </c>
      <c r="O665" s="285"/>
      <c r="P665" s="202">
        <v>649</v>
      </c>
      <c r="Q665" s="210">
        <v>10</v>
      </c>
      <c r="R665" s="205" t="s">
        <v>2624</v>
      </c>
      <c r="S665" s="206"/>
      <c r="T665" s="211"/>
      <c r="U665" s="211"/>
      <c r="V665" s="213"/>
      <c r="W665" s="213"/>
    </row>
    <row r="666" spans="1:23" ht="15" customHeight="1">
      <c r="C666" s="3">
        <v>10</v>
      </c>
      <c r="D666" s="15" t="s">
        <v>507</v>
      </c>
      <c r="E666" s="312" t="s">
        <v>159</v>
      </c>
      <c r="G666" s="26">
        <v>0</v>
      </c>
      <c r="H666" s="26">
        <v>0</v>
      </c>
      <c r="I666" s="26">
        <v>0</v>
      </c>
      <c r="J666" s="26">
        <v>0</v>
      </c>
      <c r="K666" s="26">
        <v>0</v>
      </c>
      <c r="L666" s="26">
        <v>0</v>
      </c>
      <c r="M666" s="26">
        <v>0</v>
      </c>
      <c r="N666" s="26">
        <v>0</v>
      </c>
      <c r="O666" s="285"/>
      <c r="P666" s="202">
        <v>650</v>
      </c>
      <c r="Q666" s="210">
        <v>10</v>
      </c>
      <c r="R666" s="205" t="s">
        <v>546</v>
      </c>
      <c r="S666" s="206" t="s">
        <v>115</v>
      </c>
      <c r="T666" s="211">
        <v>6000</v>
      </c>
      <c r="U666" s="211">
        <v>414.31</v>
      </c>
      <c r="V666" s="213">
        <v>2500.1</v>
      </c>
      <c r="W666" s="213">
        <v>41.67</v>
      </c>
    </row>
    <row r="667" spans="1:23" ht="15" customHeight="1">
      <c r="C667" s="3">
        <v>10</v>
      </c>
      <c r="D667" s="15" t="s">
        <v>508</v>
      </c>
      <c r="E667" s="312" t="s">
        <v>229</v>
      </c>
      <c r="G667" s="26">
        <v>0</v>
      </c>
      <c r="H667" s="26">
        <v>0</v>
      </c>
      <c r="I667" s="26">
        <v>0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285"/>
      <c r="P667" s="202">
        <v>651</v>
      </c>
      <c r="Q667" s="210">
        <v>10</v>
      </c>
      <c r="R667" s="205" t="s">
        <v>547</v>
      </c>
      <c r="S667" s="206" t="s">
        <v>117</v>
      </c>
      <c r="T667" s="211">
        <v>250</v>
      </c>
      <c r="U667" s="211">
        <v>0</v>
      </c>
      <c r="V667" s="213">
        <v>0</v>
      </c>
      <c r="W667" s="213">
        <v>0</v>
      </c>
    </row>
    <row r="668" spans="1:23" ht="15" customHeight="1">
      <c r="C668" s="3">
        <v>10</v>
      </c>
      <c r="D668" s="15" t="s">
        <v>509</v>
      </c>
      <c r="E668" s="312" t="s">
        <v>162</v>
      </c>
      <c r="G668" s="26">
        <v>237</v>
      </c>
      <c r="H668" s="26">
        <v>0</v>
      </c>
      <c r="I668" s="26">
        <v>0</v>
      </c>
      <c r="J668" s="26">
        <v>0</v>
      </c>
      <c r="K668" s="26">
        <v>50</v>
      </c>
      <c r="L668" s="26">
        <v>0</v>
      </c>
      <c r="M668" s="26">
        <v>0</v>
      </c>
      <c r="N668" s="26">
        <v>50</v>
      </c>
      <c r="O668" s="285"/>
      <c r="P668" s="202">
        <v>652</v>
      </c>
      <c r="Q668" s="210">
        <v>10</v>
      </c>
      <c r="R668" s="205" t="s">
        <v>548</v>
      </c>
      <c r="S668" s="206" t="s">
        <v>119</v>
      </c>
      <c r="T668" s="211">
        <v>1300</v>
      </c>
      <c r="U668" s="211">
        <v>60.12</v>
      </c>
      <c r="V668" s="213">
        <v>470.58</v>
      </c>
      <c r="W668" s="213">
        <v>36.200000000000003</v>
      </c>
    </row>
    <row r="669" spans="1:23" ht="15" customHeight="1">
      <c r="G669" s="26"/>
      <c r="H669" s="26"/>
      <c r="I669" s="26"/>
      <c r="J669" s="26"/>
      <c r="K669" s="26"/>
      <c r="L669" s="26"/>
      <c r="M669" s="26"/>
      <c r="N669" s="26"/>
      <c r="P669" s="202">
        <v>653</v>
      </c>
      <c r="Q669" s="210">
        <v>10</v>
      </c>
      <c r="R669" s="205" t="s">
        <v>549</v>
      </c>
      <c r="S669" s="206" t="s">
        <v>121</v>
      </c>
      <c r="T669" s="211">
        <v>1500</v>
      </c>
      <c r="U669" s="211">
        <v>57.5</v>
      </c>
      <c r="V669" s="213">
        <v>728.95</v>
      </c>
      <c r="W669" s="213">
        <v>48.6</v>
      </c>
    </row>
    <row r="670" spans="1:23" s="22" customFormat="1" ht="15" customHeight="1">
      <c r="A670" s="2" t="s">
        <v>135</v>
      </c>
      <c r="B670" s="2" t="s">
        <v>2317</v>
      </c>
      <c r="C670" s="3"/>
      <c r="D670" s="323" t="s">
        <v>2068</v>
      </c>
      <c r="E670" s="323"/>
      <c r="F670" s="324"/>
      <c r="G670" s="325">
        <f>SUM(G653:G669)</f>
        <v>29572</v>
      </c>
      <c r="H670" s="325">
        <f t="shared" ref="H670:N670" si="66">SUM(H653:H669)</f>
        <v>25239</v>
      </c>
      <c r="I670" s="325">
        <f t="shared" si="66"/>
        <v>20829</v>
      </c>
      <c r="J670" s="325">
        <f t="shared" si="66"/>
        <v>20675</v>
      </c>
      <c r="K670" s="325">
        <f t="shared" si="66"/>
        <v>21750</v>
      </c>
      <c r="L670" s="325">
        <f t="shared" si="66"/>
        <v>11283</v>
      </c>
      <c r="M670" s="325">
        <f t="shared" si="66"/>
        <v>17851</v>
      </c>
      <c r="N670" s="325">
        <f t="shared" si="66"/>
        <v>22750</v>
      </c>
      <c r="O670" s="290"/>
      <c r="P670" s="202">
        <v>654</v>
      </c>
      <c r="Q670" s="210">
        <v>10</v>
      </c>
      <c r="R670" s="205" t="s">
        <v>550</v>
      </c>
      <c r="S670" s="206" t="s">
        <v>123</v>
      </c>
      <c r="T670" s="211">
        <v>500</v>
      </c>
      <c r="U670" s="211">
        <v>0</v>
      </c>
      <c r="V670" s="213">
        <v>454.4</v>
      </c>
      <c r="W670" s="213">
        <v>90.88</v>
      </c>
    </row>
    <row r="671" spans="1:23" s="46" customFormat="1" ht="15" customHeight="1">
      <c r="A671" s="2"/>
      <c r="B671" s="2"/>
      <c r="C671" s="3"/>
      <c r="D671" s="47"/>
      <c r="E671" s="47"/>
      <c r="F671" s="191"/>
      <c r="G671" s="48"/>
      <c r="H671" s="48"/>
      <c r="I671" s="48"/>
      <c r="J671" s="48"/>
      <c r="K671" s="48"/>
      <c r="L671" s="48"/>
      <c r="M671" s="48"/>
      <c r="N671" s="48"/>
      <c r="O671" s="289"/>
      <c r="P671" s="202">
        <v>655</v>
      </c>
      <c r="Q671" s="210">
        <v>10</v>
      </c>
      <c r="R671" s="205" t="s">
        <v>551</v>
      </c>
      <c r="S671" s="206" t="s">
        <v>125</v>
      </c>
      <c r="T671" s="211">
        <v>0</v>
      </c>
      <c r="U671" s="211">
        <v>0</v>
      </c>
      <c r="V671" s="213">
        <v>0</v>
      </c>
      <c r="W671" s="213">
        <v>0</v>
      </c>
    </row>
    <row r="672" spans="1:23" ht="15" customHeight="1">
      <c r="D672" s="47" t="s">
        <v>2069</v>
      </c>
      <c r="G672" s="26"/>
      <c r="H672" s="26"/>
      <c r="I672" s="26"/>
      <c r="J672" s="26"/>
      <c r="K672" s="26"/>
      <c r="L672" s="26"/>
      <c r="M672" s="26"/>
      <c r="N672" s="26"/>
      <c r="P672" s="202">
        <v>656</v>
      </c>
      <c r="Q672" s="210">
        <v>10</v>
      </c>
      <c r="R672" s="205" t="s">
        <v>552</v>
      </c>
      <c r="S672" s="206" t="s">
        <v>553</v>
      </c>
      <c r="T672" s="211">
        <v>0</v>
      </c>
      <c r="U672" s="211">
        <v>0</v>
      </c>
      <c r="V672" s="213">
        <v>0</v>
      </c>
      <c r="W672" s="213">
        <v>0</v>
      </c>
    </row>
    <row r="673" spans="1:23" ht="15" customHeight="1">
      <c r="G673" s="26"/>
      <c r="H673" s="26"/>
      <c r="I673" s="26"/>
      <c r="J673" s="26"/>
      <c r="K673" s="26"/>
      <c r="L673" s="26"/>
      <c r="M673" s="26"/>
      <c r="N673" s="26"/>
      <c r="P673" s="202">
        <v>657</v>
      </c>
      <c r="Q673" s="210">
        <v>10</v>
      </c>
      <c r="R673" s="205" t="s">
        <v>554</v>
      </c>
      <c r="S673" s="206" t="s">
        <v>106</v>
      </c>
      <c r="T673" s="211">
        <v>57000</v>
      </c>
      <c r="U673" s="211">
        <v>7321.82</v>
      </c>
      <c r="V673" s="213">
        <v>41106.370000000003</v>
      </c>
      <c r="W673" s="213">
        <v>72.12</v>
      </c>
    </row>
    <row r="674" spans="1:23" ht="15" customHeight="1">
      <c r="C674" s="3">
        <v>10</v>
      </c>
      <c r="D674" s="15" t="s">
        <v>510</v>
      </c>
      <c r="E674" s="312" t="s">
        <v>433</v>
      </c>
      <c r="G674" s="26">
        <v>0</v>
      </c>
      <c r="H674" s="26">
        <v>0</v>
      </c>
      <c r="I674" s="26">
        <v>0</v>
      </c>
      <c r="J674" s="26">
        <v>0</v>
      </c>
      <c r="K674" s="26">
        <v>0</v>
      </c>
      <c r="L674" s="26">
        <v>0</v>
      </c>
      <c r="M674" s="26">
        <v>0</v>
      </c>
      <c r="N674" s="26">
        <v>0</v>
      </c>
      <c r="O674" s="285"/>
      <c r="P674" s="202">
        <v>658</v>
      </c>
      <c r="Q674" s="210">
        <v>10</v>
      </c>
      <c r="R674" s="205" t="s">
        <v>555</v>
      </c>
      <c r="S674" s="206" t="s">
        <v>197</v>
      </c>
      <c r="T674" s="211">
        <v>0</v>
      </c>
      <c r="U674" s="211">
        <v>0</v>
      </c>
      <c r="V674" s="213">
        <v>0</v>
      </c>
      <c r="W674" s="213">
        <v>0</v>
      </c>
    </row>
    <row r="675" spans="1:23" ht="15" customHeight="1">
      <c r="C675" s="3">
        <v>10</v>
      </c>
      <c r="D675" s="15" t="s">
        <v>511</v>
      </c>
      <c r="E675" s="312" t="s">
        <v>435</v>
      </c>
      <c r="G675" s="26">
        <v>0</v>
      </c>
      <c r="H675" s="26">
        <v>0</v>
      </c>
      <c r="I675" s="26">
        <v>0</v>
      </c>
      <c r="J675" s="26">
        <v>0</v>
      </c>
      <c r="K675" s="26">
        <v>0</v>
      </c>
      <c r="L675" s="26">
        <v>0</v>
      </c>
      <c r="M675" s="26">
        <v>0</v>
      </c>
      <c r="N675" s="26">
        <v>0</v>
      </c>
      <c r="O675" s="285"/>
      <c r="P675" s="202">
        <v>659</v>
      </c>
      <c r="Q675" s="210">
        <v>10</v>
      </c>
      <c r="R675" s="205" t="s">
        <v>556</v>
      </c>
      <c r="S675" s="206" t="s">
        <v>128</v>
      </c>
      <c r="T675" s="211">
        <v>500</v>
      </c>
      <c r="U675" s="211">
        <v>56.11</v>
      </c>
      <c r="V675" s="213">
        <v>454.7</v>
      </c>
      <c r="W675" s="213">
        <v>90.94</v>
      </c>
    </row>
    <row r="676" spans="1:23" ht="15" customHeight="1">
      <c r="C676" s="3">
        <v>10</v>
      </c>
      <c r="D676" s="15" t="s">
        <v>512</v>
      </c>
      <c r="E676" s="312" t="s">
        <v>232</v>
      </c>
      <c r="G676" s="26">
        <v>995</v>
      </c>
      <c r="H676" s="26">
        <v>462</v>
      </c>
      <c r="I676" s="26">
        <v>1006</v>
      </c>
      <c r="J676" s="26">
        <v>1501</v>
      </c>
      <c r="K676" s="26">
        <v>1200</v>
      </c>
      <c r="L676" s="26">
        <v>425</v>
      </c>
      <c r="M676" s="26">
        <v>729</v>
      </c>
      <c r="N676" s="26">
        <v>1200</v>
      </c>
      <c r="O676" s="285"/>
      <c r="P676" s="202">
        <v>660</v>
      </c>
      <c r="Q676" s="210">
        <v>10</v>
      </c>
      <c r="R676" s="205" t="s">
        <v>557</v>
      </c>
      <c r="S676" s="206" t="s">
        <v>200</v>
      </c>
      <c r="T676" s="211">
        <v>7000</v>
      </c>
      <c r="U676" s="211">
        <v>79.790000000000006</v>
      </c>
      <c r="V676" s="213">
        <v>6783.88</v>
      </c>
      <c r="W676" s="213">
        <v>96.91</v>
      </c>
    </row>
    <row r="677" spans="1:23" ht="15" customHeight="1">
      <c r="C677" s="3">
        <v>10</v>
      </c>
      <c r="D677" s="15" t="s">
        <v>513</v>
      </c>
      <c r="E677" s="312" t="s">
        <v>440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85"/>
      <c r="P677" s="202">
        <v>661</v>
      </c>
      <c r="Q677" s="210">
        <v>10</v>
      </c>
      <c r="R677" s="205" t="s">
        <v>558</v>
      </c>
      <c r="S677" s="206" t="s">
        <v>202</v>
      </c>
      <c r="T677" s="211">
        <v>0</v>
      </c>
      <c r="U677" s="211">
        <v>0</v>
      </c>
      <c r="V677" s="213">
        <v>0</v>
      </c>
      <c r="W677" s="213">
        <v>0</v>
      </c>
    </row>
    <row r="678" spans="1:23" ht="15" customHeight="1">
      <c r="C678" s="3">
        <v>10</v>
      </c>
      <c r="D678" s="15" t="s">
        <v>514</v>
      </c>
      <c r="E678" s="312" t="s">
        <v>329</v>
      </c>
      <c r="G678" s="26">
        <v>0</v>
      </c>
      <c r="H678" s="26">
        <v>0</v>
      </c>
      <c r="I678" s="26">
        <v>0</v>
      </c>
      <c r="J678" s="26">
        <v>0</v>
      </c>
      <c r="K678" s="26">
        <v>0</v>
      </c>
      <c r="L678" s="26">
        <v>0</v>
      </c>
      <c r="M678" s="26">
        <v>0</v>
      </c>
      <c r="N678" s="26">
        <v>0</v>
      </c>
      <c r="O678" s="285"/>
      <c r="P678" s="202">
        <v>662</v>
      </c>
      <c r="Q678" s="210">
        <v>10</v>
      </c>
      <c r="R678" s="205" t="s">
        <v>559</v>
      </c>
      <c r="S678" s="206" t="s">
        <v>130</v>
      </c>
      <c r="T678" s="211">
        <v>2000</v>
      </c>
      <c r="U678" s="211">
        <v>246.16</v>
      </c>
      <c r="V678" s="213">
        <v>1419.08</v>
      </c>
      <c r="W678" s="213">
        <v>70.95</v>
      </c>
    </row>
    <row r="679" spans="1:23" ht="15" customHeight="1">
      <c r="C679" s="3">
        <v>10</v>
      </c>
      <c r="D679" s="15" t="s">
        <v>515</v>
      </c>
      <c r="E679" s="312" t="s">
        <v>165</v>
      </c>
      <c r="G679" s="26">
        <v>0</v>
      </c>
      <c r="H679" s="26">
        <v>0</v>
      </c>
      <c r="I679" s="26">
        <v>0</v>
      </c>
      <c r="J679" s="26">
        <v>0</v>
      </c>
      <c r="K679" s="26">
        <v>0</v>
      </c>
      <c r="L679" s="26">
        <v>0</v>
      </c>
      <c r="M679" s="26">
        <v>0</v>
      </c>
      <c r="N679" s="26">
        <v>0</v>
      </c>
      <c r="O679" s="285"/>
      <c r="P679" s="202">
        <v>663</v>
      </c>
      <c r="Q679" s="210">
        <v>10</v>
      </c>
      <c r="R679" s="205" t="s">
        <v>560</v>
      </c>
      <c r="S679" s="206" t="s">
        <v>132</v>
      </c>
      <c r="T679" s="211">
        <v>9000</v>
      </c>
      <c r="U679" s="211">
        <v>334.76</v>
      </c>
      <c r="V679" s="213">
        <v>2401.61</v>
      </c>
      <c r="W679" s="213">
        <v>26.68</v>
      </c>
    </row>
    <row r="680" spans="1:23" ht="15" customHeight="1">
      <c r="C680" s="3">
        <v>10</v>
      </c>
      <c r="D680" s="15" t="s">
        <v>516</v>
      </c>
      <c r="E680" s="312" t="s">
        <v>167</v>
      </c>
      <c r="G680" s="26">
        <v>497</v>
      </c>
      <c r="H680" s="26">
        <v>347</v>
      </c>
      <c r="I680" s="26">
        <v>1132</v>
      </c>
      <c r="J680" s="26">
        <v>734</v>
      </c>
      <c r="K680" s="26">
        <v>1000</v>
      </c>
      <c r="L680" s="26">
        <v>88</v>
      </c>
      <c r="M680" s="26">
        <v>151</v>
      </c>
      <c r="N680" s="26">
        <v>1000</v>
      </c>
      <c r="O680" s="285"/>
      <c r="P680" s="202">
        <v>664</v>
      </c>
      <c r="Q680" s="210">
        <v>10</v>
      </c>
      <c r="R680" s="205" t="s">
        <v>561</v>
      </c>
      <c r="S680" s="206" t="s">
        <v>206</v>
      </c>
      <c r="T680" s="211">
        <v>1600</v>
      </c>
      <c r="U680" s="211">
        <v>97.86</v>
      </c>
      <c r="V680" s="213">
        <v>793.05</v>
      </c>
      <c r="W680" s="213">
        <v>49.57</v>
      </c>
    </row>
    <row r="681" spans="1:23" ht="15" customHeight="1">
      <c r="C681" s="3">
        <v>10</v>
      </c>
      <c r="D681" s="15" t="s">
        <v>517</v>
      </c>
      <c r="E681" s="312" t="s">
        <v>169</v>
      </c>
      <c r="G681" s="26">
        <v>308</v>
      </c>
      <c r="H681" s="26">
        <v>278</v>
      </c>
      <c r="I681" s="26">
        <v>191</v>
      </c>
      <c r="J681" s="26">
        <v>671</v>
      </c>
      <c r="K681" s="26">
        <v>600</v>
      </c>
      <c r="L681" s="26">
        <v>86</v>
      </c>
      <c r="M681" s="26">
        <v>148</v>
      </c>
      <c r="N681" s="26">
        <v>600</v>
      </c>
      <c r="O681" s="285"/>
      <c r="P681" s="202">
        <v>665</v>
      </c>
      <c r="Q681" s="210">
        <v>10</v>
      </c>
      <c r="R681" s="205" t="s">
        <v>562</v>
      </c>
      <c r="S681" s="206" t="s">
        <v>208</v>
      </c>
      <c r="T681" s="211">
        <v>2000</v>
      </c>
      <c r="U681" s="211">
        <v>69.5</v>
      </c>
      <c r="V681" s="213">
        <v>411.87</v>
      </c>
      <c r="W681" s="213">
        <v>20.59</v>
      </c>
    </row>
    <row r="682" spans="1:23" ht="15" customHeight="1">
      <c r="C682" s="3">
        <v>10</v>
      </c>
      <c r="D682" s="15" t="s">
        <v>518</v>
      </c>
      <c r="E682" s="312" t="s">
        <v>171</v>
      </c>
      <c r="G682" s="26">
        <v>270</v>
      </c>
      <c r="H682" s="26">
        <v>334</v>
      </c>
      <c r="I682" s="26">
        <v>530</v>
      </c>
      <c r="J682" s="26">
        <v>589</v>
      </c>
      <c r="K682" s="26">
        <v>400</v>
      </c>
      <c r="L682" s="26">
        <v>6</v>
      </c>
      <c r="M682" s="26">
        <v>11</v>
      </c>
      <c r="N682" s="26">
        <v>400</v>
      </c>
      <c r="O682" s="285"/>
      <c r="P682" s="202">
        <v>666</v>
      </c>
      <c r="Q682" s="210">
        <v>10</v>
      </c>
      <c r="R682" s="205" t="s">
        <v>563</v>
      </c>
      <c r="S682" s="206" t="s">
        <v>210</v>
      </c>
      <c r="T682" s="211">
        <v>0</v>
      </c>
      <c r="U682" s="211">
        <v>0</v>
      </c>
      <c r="V682" s="213">
        <v>0</v>
      </c>
      <c r="W682" s="213">
        <v>0</v>
      </c>
    </row>
    <row r="683" spans="1:23" ht="15" customHeight="1">
      <c r="C683" s="3">
        <v>10</v>
      </c>
      <c r="D683" s="15" t="s">
        <v>519</v>
      </c>
      <c r="E683" s="312" t="s">
        <v>173</v>
      </c>
      <c r="G683" s="26">
        <v>36</v>
      </c>
      <c r="H683" s="26">
        <v>6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85"/>
      <c r="P683" s="202">
        <v>667</v>
      </c>
      <c r="Q683" s="210">
        <v>10</v>
      </c>
      <c r="R683" s="205" t="s">
        <v>564</v>
      </c>
      <c r="S683" s="206" t="s">
        <v>134</v>
      </c>
      <c r="T683" s="211">
        <v>0</v>
      </c>
      <c r="U683" s="211">
        <v>0</v>
      </c>
      <c r="V683" s="213">
        <v>0</v>
      </c>
      <c r="W683" s="213">
        <v>0</v>
      </c>
    </row>
    <row r="684" spans="1:23" ht="15" customHeight="1">
      <c r="C684" s="3">
        <v>10</v>
      </c>
      <c r="D684" s="15" t="s">
        <v>520</v>
      </c>
      <c r="E684" s="312" t="s">
        <v>175</v>
      </c>
      <c r="G684" s="26">
        <v>0</v>
      </c>
      <c r="H684" s="26">
        <v>0</v>
      </c>
      <c r="I684" s="26">
        <v>0</v>
      </c>
      <c r="J684" s="26">
        <v>0</v>
      </c>
      <c r="K684" s="26">
        <v>0</v>
      </c>
      <c r="L684" s="26">
        <v>0</v>
      </c>
      <c r="M684" s="26">
        <v>0</v>
      </c>
      <c r="N684" s="26">
        <v>0</v>
      </c>
      <c r="O684" s="285"/>
      <c r="P684" s="202">
        <v>668</v>
      </c>
      <c r="Q684" s="210">
        <v>10</v>
      </c>
      <c r="R684" s="205" t="s">
        <v>565</v>
      </c>
      <c r="S684" s="206" t="s">
        <v>566</v>
      </c>
      <c r="T684" s="211">
        <v>2000</v>
      </c>
      <c r="U684" s="211">
        <v>118.54</v>
      </c>
      <c r="V684" s="213">
        <v>1137.72</v>
      </c>
      <c r="W684" s="213">
        <v>56.89</v>
      </c>
    </row>
    <row r="685" spans="1:23" ht="15" customHeight="1">
      <c r="C685" s="3">
        <v>10</v>
      </c>
      <c r="D685" s="15" t="s">
        <v>521</v>
      </c>
      <c r="E685" s="312" t="s">
        <v>244</v>
      </c>
      <c r="G685" s="26">
        <v>0</v>
      </c>
      <c r="H685" s="26">
        <v>301</v>
      </c>
      <c r="I685" s="26">
        <v>4</v>
      </c>
      <c r="J685" s="26">
        <v>0</v>
      </c>
      <c r="K685" s="26">
        <v>300</v>
      </c>
      <c r="L685" s="26">
        <v>0</v>
      </c>
      <c r="M685" s="26">
        <v>0</v>
      </c>
      <c r="N685" s="26">
        <v>300</v>
      </c>
      <c r="O685" s="285"/>
      <c r="P685" s="202">
        <v>669</v>
      </c>
      <c r="Q685" s="210">
        <v>10</v>
      </c>
      <c r="R685" s="205" t="s">
        <v>567</v>
      </c>
      <c r="S685" s="206" t="s">
        <v>213</v>
      </c>
      <c r="T685" s="211">
        <v>0</v>
      </c>
      <c r="U685" s="211">
        <v>0</v>
      </c>
      <c r="V685" s="213">
        <v>0</v>
      </c>
      <c r="W685" s="213">
        <v>0</v>
      </c>
    </row>
    <row r="686" spans="1:23" ht="15" customHeight="1">
      <c r="G686" s="26"/>
      <c r="H686" s="26"/>
      <c r="I686" s="26"/>
      <c r="J686" s="26"/>
      <c r="K686" s="26"/>
      <c r="L686" s="26"/>
      <c r="M686" s="26"/>
      <c r="N686" s="26"/>
      <c r="P686" s="202">
        <v>670</v>
      </c>
      <c r="Q686" s="210">
        <v>10</v>
      </c>
      <c r="R686" s="205" t="s">
        <v>568</v>
      </c>
      <c r="S686" s="206" t="s">
        <v>569</v>
      </c>
      <c r="T686" s="211">
        <v>0</v>
      </c>
      <c r="U686" s="211">
        <v>0</v>
      </c>
      <c r="V686" s="213">
        <v>0</v>
      </c>
      <c r="W686" s="213">
        <v>0</v>
      </c>
    </row>
    <row r="687" spans="1:23" s="23" customFormat="1" ht="15" customHeight="1">
      <c r="A687" s="2" t="s">
        <v>163</v>
      </c>
      <c r="B687" s="2" t="s">
        <v>2317</v>
      </c>
      <c r="C687" s="3"/>
      <c r="D687" s="323" t="s">
        <v>2070</v>
      </c>
      <c r="E687" s="323"/>
      <c r="F687" s="324"/>
      <c r="G687" s="325">
        <f>SUM(G672:G686)</f>
        <v>2106</v>
      </c>
      <c r="H687" s="325">
        <f t="shared" ref="H687:N687" si="67">SUM(H672:H686)</f>
        <v>1728</v>
      </c>
      <c r="I687" s="325">
        <f t="shared" si="67"/>
        <v>2863</v>
      </c>
      <c r="J687" s="325">
        <f t="shared" si="67"/>
        <v>3495</v>
      </c>
      <c r="K687" s="325">
        <f t="shared" si="67"/>
        <v>3500</v>
      </c>
      <c r="L687" s="325">
        <f t="shared" si="67"/>
        <v>605</v>
      </c>
      <c r="M687" s="325">
        <f t="shared" si="67"/>
        <v>1039</v>
      </c>
      <c r="N687" s="325">
        <f t="shared" si="67"/>
        <v>3500</v>
      </c>
      <c r="O687" s="291"/>
      <c r="P687" s="202">
        <v>671</v>
      </c>
      <c r="Q687" s="210">
        <v>10</v>
      </c>
      <c r="R687" s="205" t="s">
        <v>2623</v>
      </c>
      <c r="S687" s="206"/>
      <c r="T687" s="211"/>
      <c r="U687" s="211"/>
      <c r="V687" s="213"/>
      <c r="W687" s="213"/>
    </row>
    <row r="688" spans="1:23" s="46" customFormat="1" ht="15" customHeight="1">
      <c r="A688" s="2"/>
      <c r="B688" s="2"/>
      <c r="C688" s="3"/>
      <c r="D688" s="47"/>
      <c r="E688" s="47"/>
      <c r="F688" s="191"/>
      <c r="G688" s="48"/>
      <c r="H688" s="48"/>
      <c r="I688" s="48"/>
      <c r="J688" s="48"/>
      <c r="K688" s="48"/>
      <c r="L688" s="48"/>
      <c r="M688" s="48"/>
      <c r="N688" s="48"/>
      <c r="O688" s="289"/>
      <c r="P688" s="202">
        <v>672</v>
      </c>
      <c r="Q688" s="210">
        <v>10</v>
      </c>
      <c r="R688" s="205" t="s">
        <v>104</v>
      </c>
      <c r="S688" s="206"/>
      <c r="T688" s="211">
        <v>90650</v>
      </c>
      <c r="U688" s="211">
        <v>8856.4699999999993</v>
      </c>
      <c r="V688" s="213">
        <v>58662.31</v>
      </c>
      <c r="W688" s="213">
        <v>0</v>
      </c>
    </row>
    <row r="689" spans="1:23" ht="15" customHeight="1">
      <c r="D689" s="47" t="s">
        <v>2071</v>
      </c>
      <c r="G689" s="26"/>
      <c r="H689" s="26"/>
      <c r="I689" s="26"/>
      <c r="J689" s="26"/>
      <c r="K689" s="26"/>
      <c r="L689" s="26"/>
      <c r="M689" s="26"/>
      <c r="N689" s="26"/>
      <c r="P689" s="202">
        <v>673</v>
      </c>
      <c r="Q689" s="210">
        <v>10</v>
      </c>
      <c r="R689" s="205" t="s">
        <v>135</v>
      </c>
      <c r="S689" s="206"/>
      <c r="T689" s="211"/>
      <c r="U689" s="211"/>
      <c r="V689" s="213"/>
      <c r="W689" s="213"/>
    </row>
    <row r="690" spans="1:23" ht="15" customHeight="1">
      <c r="G690" s="26"/>
      <c r="H690" s="26"/>
      <c r="I690" s="26"/>
      <c r="J690" s="26"/>
      <c r="K690" s="26"/>
      <c r="L690" s="26"/>
      <c r="M690" s="26"/>
      <c r="N690" s="26"/>
      <c r="P690" s="202">
        <v>674</v>
      </c>
      <c r="Q690" s="210">
        <v>10</v>
      </c>
      <c r="R690" s="205" t="s">
        <v>2626</v>
      </c>
      <c r="S690" s="206"/>
      <c r="T690" s="211"/>
      <c r="U690" s="211"/>
      <c r="V690" s="213"/>
      <c r="W690" s="213"/>
    </row>
    <row r="691" spans="1:23" ht="15" customHeight="1">
      <c r="C691" s="3">
        <v>10</v>
      </c>
      <c r="D691" s="15" t="s">
        <v>522</v>
      </c>
      <c r="E691" s="312" t="s">
        <v>329</v>
      </c>
      <c r="G691" s="26">
        <v>0</v>
      </c>
      <c r="H691" s="26">
        <v>0</v>
      </c>
      <c r="I691" s="26">
        <v>0</v>
      </c>
      <c r="J691" s="26">
        <v>0</v>
      </c>
      <c r="K691" s="26">
        <v>0</v>
      </c>
      <c r="L691" s="26">
        <v>0</v>
      </c>
      <c r="M691" s="26">
        <v>0</v>
      </c>
      <c r="N691" s="26">
        <v>0</v>
      </c>
      <c r="O691" s="285"/>
      <c r="P691" s="202">
        <v>675</v>
      </c>
      <c r="Q691" s="210">
        <v>10</v>
      </c>
      <c r="R691" s="205" t="s">
        <v>570</v>
      </c>
      <c r="S691" s="206" t="s">
        <v>137</v>
      </c>
      <c r="T691" s="211">
        <v>11000</v>
      </c>
      <c r="U691" s="211">
        <v>637.85</v>
      </c>
      <c r="V691" s="213">
        <v>6268.7</v>
      </c>
      <c r="W691" s="213">
        <v>56.99</v>
      </c>
    </row>
    <row r="692" spans="1:23" ht="15" customHeight="1">
      <c r="C692" s="3">
        <v>10</v>
      </c>
      <c r="D692" s="15" t="s">
        <v>523</v>
      </c>
      <c r="E692" s="312" t="s">
        <v>165</v>
      </c>
      <c r="G692" s="26">
        <v>0</v>
      </c>
      <c r="H692" s="26">
        <v>0</v>
      </c>
      <c r="I692" s="26">
        <v>0</v>
      </c>
      <c r="J692" s="26">
        <v>0</v>
      </c>
      <c r="K692" s="26">
        <v>0</v>
      </c>
      <c r="L692" s="26">
        <v>0</v>
      </c>
      <c r="M692" s="26">
        <v>0</v>
      </c>
      <c r="N692" s="26">
        <v>0</v>
      </c>
      <c r="O692" s="285"/>
      <c r="P692" s="202">
        <v>676</v>
      </c>
      <c r="Q692" s="210">
        <v>10</v>
      </c>
      <c r="R692" s="205" t="s">
        <v>571</v>
      </c>
      <c r="S692" s="206" t="s">
        <v>572</v>
      </c>
      <c r="T692" s="211">
        <v>0</v>
      </c>
      <c r="U692" s="211">
        <v>0</v>
      </c>
      <c r="V692" s="213">
        <v>0</v>
      </c>
      <c r="W692" s="213">
        <v>0</v>
      </c>
    </row>
    <row r="693" spans="1:23" ht="15" customHeight="1">
      <c r="C693" s="3">
        <v>10</v>
      </c>
      <c r="D693" s="15" t="s">
        <v>524</v>
      </c>
      <c r="E693" s="312" t="s">
        <v>167</v>
      </c>
      <c r="G693" s="26">
        <v>6106</v>
      </c>
      <c r="H693" s="26">
        <v>0</v>
      </c>
      <c r="I693" s="26">
        <v>0</v>
      </c>
      <c r="J693" s="26">
        <v>0</v>
      </c>
      <c r="K693" s="26">
        <v>0</v>
      </c>
      <c r="L693" s="26">
        <v>0</v>
      </c>
      <c r="M693" s="26">
        <v>0</v>
      </c>
      <c r="N693" s="26">
        <v>0</v>
      </c>
      <c r="O693" s="285"/>
      <c r="P693" s="202">
        <v>677</v>
      </c>
      <c r="Q693" s="210">
        <v>10</v>
      </c>
      <c r="R693" s="205" t="s">
        <v>573</v>
      </c>
      <c r="S693" s="206" t="s">
        <v>216</v>
      </c>
      <c r="T693" s="211">
        <v>0</v>
      </c>
      <c r="U693" s="211">
        <v>0</v>
      </c>
      <c r="V693" s="213">
        <v>0</v>
      </c>
      <c r="W693" s="213">
        <v>0</v>
      </c>
    </row>
    <row r="694" spans="1:23" ht="15" customHeight="1">
      <c r="C694" s="3">
        <v>10</v>
      </c>
      <c r="D694" s="15" t="s">
        <v>525</v>
      </c>
      <c r="E694" s="312" t="s">
        <v>247</v>
      </c>
      <c r="G694" s="26">
        <v>0</v>
      </c>
      <c r="H694" s="26">
        <v>0</v>
      </c>
      <c r="I694" s="26">
        <v>0</v>
      </c>
      <c r="J694" s="26">
        <v>0</v>
      </c>
      <c r="K694" s="26">
        <v>0</v>
      </c>
      <c r="L694" s="26">
        <v>0</v>
      </c>
      <c r="M694" s="26">
        <v>0</v>
      </c>
      <c r="N694" s="26">
        <v>0</v>
      </c>
      <c r="O694" s="285"/>
      <c r="P694" s="202">
        <v>678</v>
      </c>
      <c r="Q694" s="210">
        <v>10</v>
      </c>
      <c r="R694" s="205" t="s">
        <v>574</v>
      </c>
      <c r="S694" s="206" t="s">
        <v>139</v>
      </c>
      <c r="T694" s="211">
        <v>4500</v>
      </c>
      <c r="U694" s="211">
        <v>0</v>
      </c>
      <c r="V694" s="213">
        <v>687.39</v>
      </c>
      <c r="W694" s="213">
        <v>15.28</v>
      </c>
    </row>
    <row r="695" spans="1:23" ht="15" customHeight="1">
      <c r="C695" s="3">
        <v>10</v>
      </c>
      <c r="D695" s="15" t="s">
        <v>526</v>
      </c>
      <c r="E695" s="312" t="s">
        <v>382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85"/>
      <c r="P695" s="202">
        <v>679</v>
      </c>
      <c r="Q695" s="210">
        <v>10</v>
      </c>
      <c r="R695" s="205" t="s">
        <v>575</v>
      </c>
      <c r="S695" s="206" t="s">
        <v>576</v>
      </c>
      <c r="T695" s="211">
        <v>0</v>
      </c>
      <c r="U695" s="211">
        <v>0</v>
      </c>
      <c r="V695" s="213">
        <v>0</v>
      </c>
      <c r="W695" s="213">
        <v>0</v>
      </c>
    </row>
    <row r="696" spans="1:23" ht="15" customHeight="1">
      <c r="C696" s="3">
        <v>10</v>
      </c>
      <c r="D696" s="15" t="s">
        <v>527</v>
      </c>
      <c r="E696" s="312" t="s">
        <v>173</v>
      </c>
      <c r="G696" s="26">
        <v>0</v>
      </c>
      <c r="H696" s="26">
        <v>0</v>
      </c>
      <c r="I696" s="26">
        <v>0</v>
      </c>
      <c r="J696" s="26">
        <v>0</v>
      </c>
      <c r="K696" s="26">
        <v>0</v>
      </c>
      <c r="L696" s="26">
        <v>0</v>
      </c>
      <c r="M696" s="26">
        <v>0</v>
      </c>
      <c r="N696" s="26">
        <v>0</v>
      </c>
      <c r="O696" s="285"/>
      <c r="P696" s="202">
        <v>680</v>
      </c>
      <c r="Q696" s="210">
        <v>10</v>
      </c>
      <c r="R696" s="205" t="s">
        <v>577</v>
      </c>
      <c r="S696" s="206" t="s">
        <v>578</v>
      </c>
      <c r="T696" s="211">
        <v>0</v>
      </c>
      <c r="U696" s="211">
        <v>0</v>
      </c>
      <c r="V696" s="213">
        <v>0</v>
      </c>
      <c r="W696" s="213">
        <v>0</v>
      </c>
    </row>
    <row r="697" spans="1:23" ht="15" customHeight="1">
      <c r="C697" s="3">
        <v>10</v>
      </c>
      <c r="D697" s="15" t="s">
        <v>528</v>
      </c>
      <c r="E697" s="312" t="s">
        <v>244</v>
      </c>
      <c r="G697" s="26">
        <v>0</v>
      </c>
      <c r="H697" s="26">
        <v>0</v>
      </c>
      <c r="I697" s="26">
        <v>0</v>
      </c>
      <c r="J697" s="26">
        <v>0</v>
      </c>
      <c r="K697" s="26">
        <v>0</v>
      </c>
      <c r="L697" s="26">
        <v>0</v>
      </c>
      <c r="M697" s="26">
        <v>0</v>
      </c>
      <c r="N697" s="26">
        <v>0</v>
      </c>
      <c r="O697" s="285"/>
      <c r="P697" s="202">
        <v>681</v>
      </c>
      <c r="Q697" s="210">
        <v>10</v>
      </c>
      <c r="R697" s="205" t="s">
        <v>579</v>
      </c>
      <c r="S697" s="206" t="s">
        <v>143</v>
      </c>
      <c r="T697" s="211">
        <v>0</v>
      </c>
      <c r="U697" s="211">
        <v>0</v>
      </c>
      <c r="V697" s="213">
        <v>0</v>
      </c>
      <c r="W697" s="213">
        <v>0</v>
      </c>
    </row>
    <row r="698" spans="1:23" ht="15" customHeight="1">
      <c r="G698" s="26"/>
      <c r="H698" s="26"/>
      <c r="I698" s="26"/>
      <c r="J698" s="26"/>
      <c r="K698" s="26"/>
      <c r="L698" s="26"/>
      <c r="M698" s="26"/>
      <c r="N698" s="26"/>
      <c r="P698" s="202">
        <v>682</v>
      </c>
      <c r="Q698" s="210">
        <v>10</v>
      </c>
      <c r="R698" s="205" t="s">
        <v>580</v>
      </c>
      <c r="S698" s="206" t="s">
        <v>145</v>
      </c>
      <c r="T698" s="211">
        <v>22000</v>
      </c>
      <c r="U698" s="211">
        <v>1823.5</v>
      </c>
      <c r="V698" s="213">
        <v>12997.87</v>
      </c>
      <c r="W698" s="213">
        <v>59.08</v>
      </c>
    </row>
    <row r="699" spans="1:23" s="24" customFormat="1" ht="15" customHeight="1">
      <c r="A699" s="2" t="s">
        <v>245</v>
      </c>
      <c r="B699" s="2" t="s">
        <v>2317</v>
      </c>
      <c r="C699" s="3"/>
      <c r="D699" s="323" t="s">
        <v>2072</v>
      </c>
      <c r="E699" s="323"/>
      <c r="F699" s="324"/>
      <c r="G699" s="325">
        <f>SUM(G689:G698)</f>
        <v>6106</v>
      </c>
      <c r="H699" s="325">
        <f t="shared" ref="H699:N699" si="68">SUM(H689:H698)</f>
        <v>0</v>
      </c>
      <c r="I699" s="325">
        <f t="shared" si="68"/>
        <v>0</v>
      </c>
      <c r="J699" s="325">
        <f t="shared" si="68"/>
        <v>0</v>
      </c>
      <c r="K699" s="325">
        <f t="shared" si="68"/>
        <v>0</v>
      </c>
      <c r="L699" s="325">
        <f t="shared" si="68"/>
        <v>0</v>
      </c>
      <c r="M699" s="325">
        <f t="shared" si="68"/>
        <v>0</v>
      </c>
      <c r="N699" s="325">
        <f t="shared" si="68"/>
        <v>0</v>
      </c>
      <c r="O699" s="292"/>
      <c r="P699" s="202">
        <v>683</v>
      </c>
      <c r="Q699" s="210">
        <v>10</v>
      </c>
      <c r="R699" s="205" t="s">
        <v>581</v>
      </c>
      <c r="S699" s="206" t="s">
        <v>147</v>
      </c>
      <c r="T699" s="211">
        <v>600</v>
      </c>
      <c r="U699" s="211">
        <v>0</v>
      </c>
      <c r="V699" s="213">
        <v>19.66</v>
      </c>
      <c r="W699" s="213">
        <v>3.28</v>
      </c>
    </row>
    <row r="700" spans="1:23" ht="15" customHeight="1">
      <c r="G700" s="26"/>
      <c r="H700" s="26"/>
      <c r="I700" s="26"/>
      <c r="J700" s="26"/>
      <c r="K700" s="26"/>
      <c r="L700" s="26"/>
      <c r="M700" s="26"/>
      <c r="N700" s="26"/>
      <c r="P700" s="202">
        <v>684</v>
      </c>
      <c r="Q700" s="210">
        <v>10</v>
      </c>
      <c r="R700" s="205" t="s">
        <v>582</v>
      </c>
      <c r="S700" s="206" t="s">
        <v>149</v>
      </c>
      <c r="T700" s="211">
        <v>250</v>
      </c>
      <c r="U700" s="211">
        <v>38.340000000000003</v>
      </c>
      <c r="V700" s="213">
        <v>38.340000000000003</v>
      </c>
      <c r="W700" s="213">
        <v>15.34</v>
      </c>
    </row>
    <row r="701" spans="1:23" s="43" customFormat="1" ht="15" customHeight="1" thickBot="1">
      <c r="A701" s="2"/>
      <c r="B701" s="2" t="s">
        <v>2317</v>
      </c>
      <c r="C701" s="3"/>
      <c r="D701" s="68" t="s">
        <v>1985</v>
      </c>
      <c r="E701" s="326"/>
      <c r="F701" s="327"/>
      <c r="G701" s="328">
        <f t="shared" ref="G701:N701" si="69">+G699+G687+G670+G651+G628</f>
        <v>196203</v>
      </c>
      <c r="H701" s="328">
        <f t="shared" si="69"/>
        <v>179430</v>
      </c>
      <c r="I701" s="328">
        <f t="shared" si="69"/>
        <v>181905</v>
      </c>
      <c r="J701" s="328">
        <f t="shared" si="69"/>
        <v>186413</v>
      </c>
      <c r="K701" s="328">
        <f t="shared" si="69"/>
        <v>187000</v>
      </c>
      <c r="L701" s="328">
        <f t="shared" si="69"/>
        <v>115575</v>
      </c>
      <c r="M701" s="328">
        <f t="shared" si="69"/>
        <v>182345.63</v>
      </c>
      <c r="N701" s="328">
        <f t="shared" si="69"/>
        <v>190515</v>
      </c>
      <c r="O701" s="288"/>
      <c r="P701" s="202">
        <v>685</v>
      </c>
      <c r="Q701" s="210">
        <v>10</v>
      </c>
      <c r="R701" s="205" t="s">
        <v>583</v>
      </c>
      <c r="S701" s="206" t="s">
        <v>151</v>
      </c>
      <c r="T701" s="211">
        <v>450</v>
      </c>
      <c r="U701" s="211">
        <v>36.04</v>
      </c>
      <c r="V701" s="213">
        <v>357.04</v>
      </c>
      <c r="W701" s="213">
        <v>79.34</v>
      </c>
    </row>
    <row r="702" spans="1:23" s="45" customFormat="1" ht="15" customHeight="1" thickTop="1">
      <c r="A702" s="2"/>
      <c r="B702" s="2"/>
      <c r="C702" s="3"/>
      <c r="D702" s="47"/>
      <c r="E702" s="15"/>
      <c r="F702" s="105"/>
      <c r="G702" s="26"/>
      <c r="H702" s="26"/>
      <c r="I702" s="26"/>
      <c r="J702" s="26"/>
      <c r="K702" s="26"/>
      <c r="L702" s="26"/>
      <c r="M702" s="26"/>
      <c r="N702" s="26"/>
      <c r="O702" s="275"/>
      <c r="P702" s="202">
        <v>686</v>
      </c>
      <c r="Q702" s="210">
        <v>10</v>
      </c>
      <c r="R702" s="205" t="s">
        <v>584</v>
      </c>
      <c r="S702" s="206" t="s">
        <v>153</v>
      </c>
      <c r="T702" s="211">
        <v>20000</v>
      </c>
      <c r="U702" s="211">
        <v>1182.54</v>
      </c>
      <c r="V702" s="213">
        <v>4798.76</v>
      </c>
      <c r="W702" s="213">
        <v>23.99</v>
      </c>
    </row>
    <row r="703" spans="1:23" s="45" customFormat="1" ht="15" customHeight="1">
      <c r="A703" s="2"/>
      <c r="B703" s="2"/>
      <c r="C703" s="3"/>
      <c r="D703" s="47" t="s">
        <v>8</v>
      </c>
      <c r="E703" s="15"/>
      <c r="F703" s="105"/>
      <c r="G703" s="26"/>
      <c r="H703" s="26"/>
      <c r="I703" s="26"/>
      <c r="J703" s="26"/>
      <c r="K703" s="26"/>
      <c r="L703" s="26"/>
      <c r="M703" s="26"/>
      <c r="N703" s="26"/>
      <c r="O703" s="275"/>
      <c r="P703" s="202">
        <v>687</v>
      </c>
      <c r="Q703" s="210">
        <v>10</v>
      </c>
      <c r="R703" s="205" t="s">
        <v>585</v>
      </c>
      <c r="S703" s="206" t="s">
        <v>155</v>
      </c>
      <c r="T703" s="211">
        <v>0</v>
      </c>
      <c r="U703" s="211">
        <v>0</v>
      </c>
      <c r="V703" s="213">
        <v>-771.35</v>
      </c>
      <c r="W703" s="213">
        <v>0</v>
      </c>
    </row>
    <row r="704" spans="1:23" s="45" customFormat="1" ht="15" customHeight="1">
      <c r="A704" s="2"/>
      <c r="B704" s="2"/>
      <c r="C704" s="3"/>
      <c r="D704" s="47"/>
      <c r="E704" s="15"/>
      <c r="F704" s="105"/>
      <c r="G704" s="26"/>
      <c r="H704" s="26"/>
      <c r="I704" s="26"/>
      <c r="J704" s="26"/>
      <c r="K704" s="26"/>
      <c r="L704" s="26"/>
      <c r="M704" s="26"/>
      <c r="N704" s="26"/>
      <c r="O704" s="275"/>
      <c r="P704" s="202">
        <v>688</v>
      </c>
      <c r="Q704" s="210">
        <v>10</v>
      </c>
      <c r="R704" s="205" t="s">
        <v>586</v>
      </c>
      <c r="S704" s="206" t="s">
        <v>587</v>
      </c>
      <c r="T704" s="211">
        <v>300</v>
      </c>
      <c r="U704" s="211">
        <v>0</v>
      </c>
      <c r="V704" s="213">
        <v>110.42</v>
      </c>
      <c r="W704" s="213">
        <v>36.81</v>
      </c>
    </row>
    <row r="705" spans="1:23" s="5" customFormat="1" ht="15" customHeight="1">
      <c r="A705" s="2"/>
      <c r="B705" s="2"/>
      <c r="C705" s="3"/>
      <c r="D705" s="47" t="s">
        <v>2073</v>
      </c>
      <c r="E705" s="15"/>
      <c r="F705" s="105"/>
      <c r="G705" s="26"/>
      <c r="H705" s="26"/>
      <c r="I705" s="26"/>
      <c r="J705" s="26"/>
      <c r="K705" s="26"/>
      <c r="L705" s="26"/>
      <c r="M705" s="26"/>
      <c r="N705" s="26"/>
      <c r="O705" s="282"/>
      <c r="P705" s="202">
        <v>689</v>
      </c>
      <c r="Q705" s="210">
        <v>10</v>
      </c>
      <c r="R705" s="205" t="s">
        <v>588</v>
      </c>
      <c r="S705" s="206" t="s">
        <v>589</v>
      </c>
      <c r="T705" s="211">
        <v>0</v>
      </c>
      <c r="U705" s="211">
        <v>0</v>
      </c>
      <c r="V705" s="213">
        <v>0</v>
      </c>
      <c r="W705" s="213">
        <v>0</v>
      </c>
    </row>
    <row r="706" spans="1:23" ht="15" customHeight="1">
      <c r="G706" s="26"/>
      <c r="H706" s="26"/>
      <c r="I706" s="26"/>
      <c r="J706" s="26"/>
      <c r="K706" s="26"/>
      <c r="L706" s="26"/>
      <c r="M706" s="26"/>
      <c r="N706" s="26"/>
      <c r="P706" s="202">
        <v>690</v>
      </c>
      <c r="Q706" s="210">
        <v>10</v>
      </c>
      <c r="R706" s="205" t="s">
        <v>590</v>
      </c>
      <c r="S706" s="206" t="s">
        <v>157</v>
      </c>
      <c r="T706" s="211">
        <v>10000</v>
      </c>
      <c r="U706" s="211">
        <v>708.81</v>
      </c>
      <c r="V706" s="213">
        <v>5336.67</v>
      </c>
      <c r="W706" s="213">
        <v>53.37</v>
      </c>
    </row>
    <row r="707" spans="1:23" ht="15" customHeight="1">
      <c r="C707" s="3">
        <v>10</v>
      </c>
      <c r="D707" s="15" t="s">
        <v>529</v>
      </c>
      <c r="E707" s="312" t="s">
        <v>79</v>
      </c>
      <c r="G707" s="26">
        <v>907282</v>
      </c>
      <c r="H707" s="26">
        <v>998492</v>
      </c>
      <c r="I707" s="26">
        <v>1081832</v>
      </c>
      <c r="J707" s="26">
        <v>1062483</v>
      </c>
      <c r="K707" s="26">
        <v>1082703</v>
      </c>
      <c r="L707" s="26">
        <v>622607</v>
      </c>
      <c r="M707" s="26">
        <f>801614*1.33</f>
        <v>1066146.6200000001</v>
      </c>
      <c r="N707" s="26">
        <f>1066147-21839</f>
        <v>1044308</v>
      </c>
      <c r="O707" s="275" t="s">
        <v>3061</v>
      </c>
      <c r="P707" s="202">
        <v>691</v>
      </c>
      <c r="Q707" s="210">
        <v>10</v>
      </c>
      <c r="R707" s="205" t="s">
        <v>591</v>
      </c>
      <c r="S707" s="206" t="s">
        <v>159</v>
      </c>
      <c r="T707" s="211">
        <v>67170</v>
      </c>
      <c r="U707" s="211">
        <v>727.9</v>
      </c>
      <c r="V707" s="213">
        <v>37736.75</v>
      </c>
      <c r="W707" s="213">
        <v>56.18</v>
      </c>
    </row>
    <row r="708" spans="1:23" ht="15" customHeight="1">
      <c r="C708" s="3">
        <v>10</v>
      </c>
      <c r="D708" s="15" t="s">
        <v>530</v>
      </c>
      <c r="E708" s="312" t="s">
        <v>81</v>
      </c>
      <c r="G708" s="26">
        <v>183956</v>
      </c>
      <c r="H708" s="26">
        <v>191170</v>
      </c>
      <c r="I708" s="26">
        <v>207698</v>
      </c>
      <c r="J708" s="26">
        <v>210592</v>
      </c>
      <c r="K708" s="26">
        <v>199341</v>
      </c>
      <c r="L708" s="26">
        <v>122637</v>
      </c>
      <c r="M708" s="26">
        <v>199629</v>
      </c>
      <c r="N708" s="26">
        <f>206429-6800</f>
        <v>199629</v>
      </c>
      <c r="P708" s="202">
        <v>692</v>
      </c>
      <c r="Q708" s="210">
        <v>10</v>
      </c>
      <c r="R708" s="205" t="s">
        <v>592</v>
      </c>
      <c r="S708" s="206" t="s">
        <v>229</v>
      </c>
      <c r="T708" s="211">
        <v>8253</v>
      </c>
      <c r="U708" s="211">
        <v>162.27000000000001</v>
      </c>
      <c r="V708" s="213">
        <v>5405.56</v>
      </c>
      <c r="W708" s="213">
        <v>65.5</v>
      </c>
    </row>
    <row r="709" spans="1:23" ht="15" customHeight="1">
      <c r="C709" s="3">
        <v>10</v>
      </c>
      <c r="D709" s="15" t="s">
        <v>531</v>
      </c>
      <c r="E709" s="312" t="s">
        <v>83</v>
      </c>
      <c r="G709" s="26">
        <v>0</v>
      </c>
      <c r="H709" s="26">
        <v>1458</v>
      </c>
      <c r="I709" s="26">
        <v>145</v>
      </c>
      <c r="J709" s="26">
        <v>0</v>
      </c>
      <c r="K709" s="26">
        <v>0</v>
      </c>
      <c r="L709" s="26">
        <v>0</v>
      </c>
      <c r="M709" s="26">
        <v>0</v>
      </c>
      <c r="N709" s="26">
        <v>0</v>
      </c>
      <c r="P709" s="202">
        <v>693</v>
      </c>
      <c r="Q709" s="210">
        <v>10</v>
      </c>
      <c r="R709" s="205" t="s">
        <v>593</v>
      </c>
      <c r="S709" s="206" t="s">
        <v>162</v>
      </c>
      <c r="T709" s="211">
        <v>200</v>
      </c>
      <c r="U709" s="211">
        <v>105.6</v>
      </c>
      <c r="V709" s="213">
        <v>220.96</v>
      </c>
      <c r="W709" s="213">
        <v>110.48</v>
      </c>
    </row>
    <row r="710" spans="1:23" ht="15" customHeight="1">
      <c r="C710" s="3">
        <v>10</v>
      </c>
      <c r="D710" s="15" t="s">
        <v>532</v>
      </c>
      <c r="E710" s="312" t="s">
        <v>85</v>
      </c>
      <c r="G710" s="26">
        <v>3243</v>
      </c>
      <c r="H710" s="26">
        <v>335</v>
      </c>
      <c r="I710" s="26">
        <v>6552</v>
      </c>
      <c r="J710" s="26">
        <v>3528</v>
      </c>
      <c r="K710" s="26">
        <v>8853</v>
      </c>
      <c r="L710" s="26">
        <v>7428</v>
      </c>
      <c r="M710" s="26">
        <f>7428*1.33</f>
        <v>9879.24</v>
      </c>
      <c r="N710" s="26">
        <v>9500</v>
      </c>
      <c r="P710" s="202">
        <v>694</v>
      </c>
      <c r="Q710" s="210">
        <v>10</v>
      </c>
      <c r="R710" s="205" t="s">
        <v>2623</v>
      </c>
      <c r="S710" s="206"/>
      <c r="T710" s="211"/>
      <c r="U710" s="211"/>
      <c r="V710" s="213"/>
      <c r="W710" s="213"/>
    </row>
    <row r="711" spans="1:23" ht="15" customHeight="1">
      <c r="C711" s="3">
        <v>10</v>
      </c>
      <c r="D711" s="15" t="s">
        <v>533</v>
      </c>
      <c r="E711" s="312" t="s">
        <v>87</v>
      </c>
      <c r="G711" s="26">
        <v>71990</v>
      </c>
      <c r="H711" s="26">
        <v>79051</v>
      </c>
      <c r="I711" s="26">
        <v>84695</v>
      </c>
      <c r="J711" s="26">
        <v>81639</v>
      </c>
      <c r="K711" s="26">
        <v>84607</v>
      </c>
      <c r="L711" s="26">
        <v>47343</v>
      </c>
      <c r="M711" s="26">
        <f>60918*1.33</f>
        <v>81020.94</v>
      </c>
      <c r="N711" s="26">
        <v>81021</v>
      </c>
      <c r="P711" s="202">
        <v>695</v>
      </c>
      <c r="Q711" s="210">
        <v>10</v>
      </c>
      <c r="R711" s="205" t="s">
        <v>135</v>
      </c>
      <c r="S711" s="206"/>
      <c r="T711" s="211">
        <v>144723</v>
      </c>
      <c r="U711" s="211">
        <v>5422.85</v>
      </c>
      <c r="V711" s="213">
        <v>73206.77</v>
      </c>
      <c r="W711" s="213">
        <v>0</v>
      </c>
    </row>
    <row r="712" spans="1:23" ht="15" customHeight="1">
      <c r="C712" s="3">
        <v>10</v>
      </c>
      <c r="D712" s="15" t="s">
        <v>534</v>
      </c>
      <c r="E712" s="312" t="s">
        <v>89</v>
      </c>
      <c r="G712" s="26">
        <v>136942</v>
      </c>
      <c r="H712" s="26">
        <v>152003</v>
      </c>
      <c r="I712" s="26">
        <v>171613</v>
      </c>
      <c r="J712" s="26">
        <v>178309</v>
      </c>
      <c r="K712" s="26">
        <v>173882</v>
      </c>
      <c r="L712" s="26">
        <v>105354</v>
      </c>
      <c r="M712" s="26">
        <f>135502*1.33</f>
        <v>180217.66</v>
      </c>
      <c r="N712" s="26">
        <v>182000</v>
      </c>
      <c r="P712" s="202">
        <v>696</v>
      </c>
      <c r="Q712" s="210">
        <v>10</v>
      </c>
      <c r="R712" s="205" t="s">
        <v>163</v>
      </c>
      <c r="S712" s="206"/>
      <c r="T712" s="211"/>
      <c r="U712" s="211"/>
      <c r="V712" s="213"/>
      <c r="W712" s="213"/>
    </row>
    <row r="713" spans="1:23" ht="15" customHeight="1">
      <c r="C713" s="3">
        <v>10</v>
      </c>
      <c r="D713" s="15" t="s">
        <v>535</v>
      </c>
      <c r="E713" s="312" t="s">
        <v>536</v>
      </c>
      <c r="G713" s="26">
        <v>0</v>
      </c>
      <c r="H713" s="26">
        <v>-1459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P713" s="202">
        <v>697</v>
      </c>
      <c r="Q713" s="210">
        <v>10</v>
      </c>
      <c r="R713" s="205" t="s">
        <v>2627</v>
      </c>
      <c r="S713" s="206"/>
      <c r="T713" s="211"/>
      <c r="U713" s="211"/>
      <c r="V713" s="213"/>
      <c r="W713" s="213"/>
    </row>
    <row r="714" spans="1:23" ht="15" customHeight="1">
      <c r="C714" s="3">
        <v>10</v>
      </c>
      <c r="D714" s="15" t="s">
        <v>537</v>
      </c>
      <c r="E714" s="312" t="s">
        <v>91</v>
      </c>
      <c r="G714" s="26">
        <v>44073</v>
      </c>
      <c r="H714" s="26">
        <v>41333</v>
      </c>
      <c r="I714" s="26">
        <v>33385</v>
      </c>
      <c r="J714" s="26">
        <v>26113</v>
      </c>
      <c r="K714" s="26">
        <v>30000</v>
      </c>
      <c r="L714" s="26">
        <v>11565</v>
      </c>
      <c r="M714" s="26">
        <f>14797*1.33</f>
        <v>19680.010000000002</v>
      </c>
      <c r="N714" s="26">
        <v>20000</v>
      </c>
      <c r="P714" s="202">
        <v>698</v>
      </c>
      <c r="Q714" s="210">
        <v>10</v>
      </c>
      <c r="R714" s="205" t="s">
        <v>594</v>
      </c>
      <c r="S714" s="206" t="s">
        <v>433</v>
      </c>
      <c r="T714" s="211">
        <v>300</v>
      </c>
      <c r="U714" s="211">
        <v>0</v>
      </c>
      <c r="V714" s="213">
        <v>0</v>
      </c>
      <c r="W714" s="213">
        <v>0</v>
      </c>
    </row>
    <row r="715" spans="1:23" ht="15" customHeight="1">
      <c r="C715" s="3">
        <v>10</v>
      </c>
      <c r="D715" s="15" t="s">
        <v>538</v>
      </c>
      <c r="E715" s="312" t="s">
        <v>539</v>
      </c>
      <c r="G715" s="26">
        <v>0</v>
      </c>
      <c r="H715" s="26">
        <v>0</v>
      </c>
      <c r="I715" s="26">
        <v>0</v>
      </c>
      <c r="J715" s="26">
        <v>0</v>
      </c>
      <c r="K715" s="26">
        <v>0</v>
      </c>
      <c r="L715" s="26">
        <v>0</v>
      </c>
      <c r="M715" s="26">
        <v>0</v>
      </c>
      <c r="N715" s="26">
        <v>0</v>
      </c>
      <c r="P715" s="202">
        <v>699</v>
      </c>
      <c r="Q715" s="210">
        <v>10</v>
      </c>
      <c r="R715" s="205" t="s">
        <v>595</v>
      </c>
      <c r="S715" s="206" t="s">
        <v>435</v>
      </c>
      <c r="T715" s="211">
        <v>0</v>
      </c>
      <c r="U715" s="211">
        <v>0</v>
      </c>
      <c r="V715" s="213">
        <v>0</v>
      </c>
      <c r="W715" s="213">
        <v>0</v>
      </c>
    </row>
    <row r="716" spans="1:23" ht="15" customHeight="1">
      <c r="C716" s="3">
        <v>10</v>
      </c>
      <c r="D716" s="15" t="s">
        <v>540</v>
      </c>
      <c r="E716" s="312" t="s">
        <v>93</v>
      </c>
      <c r="G716" s="26">
        <v>6893</v>
      </c>
      <c r="H716" s="26">
        <v>8846</v>
      </c>
      <c r="I716" s="26">
        <v>0</v>
      </c>
      <c r="J716" s="26">
        <v>0</v>
      </c>
      <c r="K716" s="26">
        <v>0</v>
      </c>
      <c r="L716" s="26">
        <v>0</v>
      </c>
      <c r="M716" s="26">
        <v>0</v>
      </c>
      <c r="N716" s="26">
        <v>0</v>
      </c>
      <c r="P716" s="202">
        <v>700</v>
      </c>
      <c r="Q716" s="210">
        <v>10</v>
      </c>
      <c r="R716" s="205" t="s">
        <v>596</v>
      </c>
      <c r="S716" s="206" t="s">
        <v>232</v>
      </c>
      <c r="T716" s="211">
        <v>4000</v>
      </c>
      <c r="U716" s="211">
        <v>45</v>
      </c>
      <c r="V716" s="213">
        <v>1780.12</v>
      </c>
      <c r="W716" s="213">
        <v>44.5</v>
      </c>
    </row>
    <row r="717" spans="1:23" ht="15" customHeight="1">
      <c r="C717" s="3">
        <v>10</v>
      </c>
      <c r="D717" s="15" t="s">
        <v>541</v>
      </c>
      <c r="E717" s="312" t="s">
        <v>95</v>
      </c>
      <c r="G717" s="26">
        <v>6364</v>
      </c>
      <c r="H717" s="26">
        <v>7075</v>
      </c>
      <c r="I717" s="26">
        <v>6875</v>
      </c>
      <c r="J717" s="26">
        <v>7125</v>
      </c>
      <c r="K717" s="26">
        <v>6300</v>
      </c>
      <c r="L717" s="26">
        <v>4200</v>
      </c>
      <c r="M717" s="26">
        <f>5450*1.33</f>
        <v>7248.5</v>
      </c>
      <c r="N717" s="26">
        <v>7249</v>
      </c>
      <c r="P717" s="202">
        <v>701</v>
      </c>
      <c r="Q717" s="210">
        <v>10</v>
      </c>
      <c r="R717" s="205" t="s">
        <v>597</v>
      </c>
      <c r="S717" s="206" t="s">
        <v>329</v>
      </c>
      <c r="T717" s="211">
        <v>0</v>
      </c>
      <c r="U717" s="211">
        <v>0</v>
      </c>
      <c r="V717" s="213">
        <v>0</v>
      </c>
      <c r="W717" s="213">
        <v>0</v>
      </c>
    </row>
    <row r="718" spans="1:23" ht="15" customHeight="1">
      <c r="C718" s="3">
        <v>10</v>
      </c>
      <c r="D718" s="15" t="s">
        <v>542</v>
      </c>
      <c r="E718" s="312" t="s">
        <v>97</v>
      </c>
      <c r="G718" s="26">
        <v>6717</v>
      </c>
      <c r="H718" s="26">
        <v>7062</v>
      </c>
      <c r="I718" s="26">
        <v>7669</v>
      </c>
      <c r="J718" s="26">
        <v>7688</v>
      </c>
      <c r="K718" s="26">
        <v>8461</v>
      </c>
      <c r="L718" s="26">
        <v>5240</v>
      </c>
      <c r="M718" s="26">
        <f>6822*1.33</f>
        <v>9073.26</v>
      </c>
      <c r="N718" s="26">
        <v>10735</v>
      </c>
      <c r="P718" s="202">
        <v>702</v>
      </c>
      <c r="Q718" s="210">
        <v>10</v>
      </c>
      <c r="R718" s="205" t="s">
        <v>598</v>
      </c>
      <c r="S718" s="206" t="s">
        <v>599</v>
      </c>
      <c r="T718" s="211">
        <v>7000</v>
      </c>
      <c r="U718" s="211">
        <v>0</v>
      </c>
      <c r="V718" s="213">
        <v>5850.94</v>
      </c>
      <c r="W718" s="213">
        <v>83.58</v>
      </c>
    </row>
    <row r="719" spans="1:23" ht="15" customHeight="1">
      <c r="C719" s="3">
        <v>10</v>
      </c>
      <c r="D719" s="15" t="s">
        <v>543</v>
      </c>
      <c r="E719" s="312" t="s">
        <v>99</v>
      </c>
      <c r="G719" s="26">
        <v>1406</v>
      </c>
      <c r="H719" s="26">
        <v>1640</v>
      </c>
      <c r="I719" s="26">
        <v>1816</v>
      </c>
      <c r="J719" s="26">
        <v>1933</v>
      </c>
      <c r="K719" s="26">
        <v>1889</v>
      </c>
      <c r="L719" s="26">
        <v>1774</v>
      </c>
      <c r="M719" s="26">
        <f>1774*1.33</f>
        <v>2359.42</v>
      </c>
      <c r="N719" s="26">
        <v>2359</v>
      </c>
      <c r="P719" s="202">
        <v>703</v>
      </c>
      <c r="Q719" s="210">
        <v>10</v>
      </c>
      <c r="R719" s="205" t="s">
        <v>600</v>
      </c>
      <c r="S719" s="206" t="s">
        <v>165</v>
      </c>
      <c r="T719" s="211">
        <v>750</v>
      </c>
      <c r="U719" s="211">
        <v>0</v>
      </c>
      <c r="V719" s="213">
        <v>0</v>
      </c>
      <c r="W719" s="213">
        <v>0</v>
      </c>
    </row>
    <row r="720" spans="1:23" ht="15" customHeight="1">
      <c r="C720" s="3">
        <v>10</v>
      </c>
      <c r="D720" s="15" t="s">
        <v>544</v>
      </c>
      <c r="E720" s="312" t="s">
        <v>101</v>
      </c>
      <c r="G720" s="26">
        <v>0</v>
      </c>
      <c r="H720" s="26">
        <v>0</v>
      </c>
      <c r="I720" s="26">
        <v>0</v>
      </c>
      <c r="J720" s="26">
        <v>0</v>
      </c>
      <c r="K720" s="26">
        <v>0</v>
      </c>
      <c r="L720" s="26">
        <v>0</v>
      </c>
      <c r="M720" s="26">
        <v>0</v>
      </c>
      <c r="N720" s="26">
        <v>0</v>
      </c>
      <c r="P720" s="202">
        <v>704</v>
      </c>
      <c r="Q720" s="210">
        <v>10</v>
      </c>
      <c r="R720" s="205" t="s">
        <v>601</v>
      </c>
      <c r="S720" s="206" t="s">
        <v>167</v>
      </c>
      <c r="T720" s="211">
        <v>0</v>
      </c>
      <c r="U720" s="211">
        <v>0</v>
      </c>
      <c r="V720" s="213">
        <v>0</v>
      </c>
      <c r="W720" s="213">
        <v>0</v>
      </c>
    </row>
    <row r="721" spans="1:23" ht="15" customHeight="1">
      <c r="C721" s="3">
        <v>10</v>
      </c>
      <c r="D721" s="15" t="s">
        <v>545</v>
      </c>
      <c r="E721" s="312" t="s">
        <v>103</v>
      </c>
      <c r="G721" s="26">
        <v>0</v>
      </c>
      <c r="H721" s="26">
        <v>0</v>
      </c>
      <c r="I721" s="26">
        <v>0</v>
      </c>
      <c r="J721" s="26">
        <v>0</v>
      </c>
      <c r="K721" s="26">
        <v>0</v>
      </c>
      <c r="L721" s="26">
        <v>0</v>
      </c>
      <c r="M721" s="26">
        <v>0</v>
      </c>
      <c r="N721" s="26">
        <v>20000</v>
      </c>
      <c r="O721" s="275" t="s">
        <v>3038</v>
      </c>
      <c r="P721" s="202">
        <v>705</v>
      </c>
      <c r="Q721" s="210">
        <v>10</v>
      </c>
      <c r="R721" s="205" t="s">
        <v>602</v>
      </c>
      <c r="S721" s="206" t="s">
        <v>169</v>
      </c>
      <c r="T721" s="211">
        <v>30000</v>
      </c>
      <c r="U721" s="211">
        <v>3158.64</v>
      </c>
      <c r="V721" s="213">
        <v>20675.47</v>
      </c>
      <c r="W721" s="213">
        <v>68.92</v>
      </c>
    </row>
    <row r="722" spans="1:23" ht="15" customHeight="1">
      <c r="G722" s="26"/>
      <c r="H722" s="26"/>
      <c r="I722" s="26"/>
      <c r="J722" s="26"/>
      <c r="K722" s="26"/>
      <c r="L722" s="26"/>
      <c r="M722" s="26"/>
      <c r="N722" s="26"/>
      <c r="P722" s="202">
        <v>706</v>
      </c>
      <c r="Q722" s="210">
        <v>10</v>
      </c>
      <c r="R722" s="205" t="s">
        <v>603</v>
      </c>
      <c r="S722" s="206" t="s">
        <v>171</v>
      </c>
      <c r="T722" s="211">
        <v>15000</v>
      </c>
      <c r="U722" s="211">
        <v>1171.94</v>
      </c>
      <c r="V722" s="213">
        <v>10131.129999999999</v>
      </c>
      <c r="W722" s="213">
        <v>67.540000000000006</v>
      </c>
    </row>
    <row r="723" spans="1:23" s="72" customFormat="1" ht="15" customHeight="1">
      <c r="A723" s="5" t="s">
        <v>2410</v>
      </c>
      <c r="B723" s="5" t="s">
        <v>2317</v>
      </c>
      <c r="C723" s="3"/>
      <c r="D723" s="323" t="s">
        <v>2074</v>
      </c>
      <c r="E723" s="323"/>
      <c r="F723" s="324"/>
      <c r="G723" s="325">
        <f>SUM(G705:G722)</f>
        <v>1368866</v>
      </c>
      <c r="H723" s="325">
        <f t="shared" ref="H723:N723" si="70">SUM(H705:H722)</f>
        <v>1487006</v>
      </c>
      <c r="I723" s="325">
        <f t="shared" si="70"/>
        <v>1602280</v>
      </c>
      <c r="J723" s="325">
        <f t="shared" si="70"/>
        <v>1579410</v>
      </c>
      <c r="K723" s="325">
        <f t="shared" si="70"/>
        <v>1596036</v>
      </c>
      <c r="L723" s="325">
        <f t="shared" si="70"/>
        <v>928148</v>
      </c>
      <c r="M723" s="325">
        <f t="shared" si="70"/>
        <v>1575254.65</v>
      </c>
      <c r="N723" s="325">
        <f t="shared" si="70"/>
        <v>1576801</v>
      </c>
      <c r="O723" s="286"/>
      <c r="P723" s="202">
        <v>707</v>
      </c>
      <c r="Q723" s="210">
        <v>10</v>
      </c>
      <c r="R723" s="205" t="s">
        <v>604</v>
      </c>
      <c r="S723" s="206" t="s">
        <v>173</v>
      </c>
      <c r="T723" s="211">
        <v>0</v>
      </c>
      <c r="U723" s="211">
        <v>0</v>
      </c>
      <c r="V723" s="213">
        <v>0</v>
      </c>
      <c r="W723" s="213">
        <v>0</v>
      </c>
    </row>
    <row r="724" spans="1:23" s="46" customFormat="1" ht="15" customHeight="1">
      <c r="A724" s="2"/>
      <c r="B724" s="2"/>
      <c r="C724" s="3"/>
      <c r="D724" s="47"/>
      <c r="E724" s="47"/>
      <c r="F724" s="191"/>
      <c r="G724" s="48"/>
      <c r="H724" s="48"/>
      <c r="I724" s="48"/>
      <c r="J724" s="48"/>
      <c r="K724" s="48"/>
      <c r="L724" s="48"/>
      <c r="M724" s="48"/>
      <c r="N724" s="48"/>
      <c r="O724" s="289"/>
      <c r="P724" s="202">
        <v>708</v>
      </c>
      <c r="Q724" s="210">
        <v>10</v>
      </c>
      <c r="R724" s="205" t="s">
        <v>605</v>
      </c>
      <c r="S724" s="206" t="s">
        <v>175</v>
      </c>
      <c r="T724" s="211">
        <v>0</v>
      </c>
      <c r="U724" s="211">
        <v>0</v>
      </c>
      <c r="V724" s="213">
        <v>0</v>
      </c>
      <c r="W724" s="213">
        <v>0</v>
      </c>
    </row>
    <row r="725" spans="1:23" s="5" customFormat="1" ht="15" customHeight="1">
      <c r="A725" s="2"/>
      <c r="B725" s="2"/>
      <c r="C725" s="3"/>
      <c r="D725" s="47" t="s">
        <v>2075</v>
      </c>
      <c r="E725" s="15"/>
      <c r="F725" s="105"/>
      <c r="G725" s="26"/>
      <c r="H725" s="26"/>
      <c r="I725" s="26"/>
      <c r="J725" s="26"/>
      <c r="K725" s="26"/>
      <c r="L725" s="26"/>
      <c r="M725" s="26"/>
      <c r="N725" s="26"/>
      <c r="O725" s="282"/>
      <c r="P725" s="202">
        <v>709</v>
      </c>
      <c r="Q725" s="210">
        <v>10</v>
      </c>
      <c r="R725" s="205" t="s">
        <v>606</v>
      </c>
      <c r="S725" s="206" t="s">
        <v>244</v>
      </c>
      <c r="T725" s="211">
        <v>1000</v>
      </c>
      <c r="U725" s="211">
        <v>6620</v>
      </c>
      <c r="V725" s="213">
        <v>7195.85</v>
      </c>
      <c r="W725" s="213">
        <v>719.59</v>
      </c>
    </row>
    <row r="726" spans="1:23" ht="15" customHeight="1">
      <c r="G726" s="26"/>
      <c r="H726" s="26"/>
      <c r="I726" s="26"/>
      <c r="J726" s="26"/>
      <c r="K726" s="26"/>
      <c r="L726" s="26"/>
      <c r="M726" s="26"/>
      <c r="N726" s="26"/>
      <c r="P726" s="202">
        <v>710</v>
      </c>
      <c r="Q726" s="210">
        <v>10</v>
      </c>
      <c r="R726" s="205" t="s">
        <v>2623</v>
      </c>
      <c r="S726" s="206"/>
      <c r="T726" s="211"/>
      <c r="U726" s="211"/>
      <c r="V726" s="213"/>
      <c r="W726" s="213"/>
    </row>
    <row r="727" spans="1:23" ht="15" customHeight="1">
      <c r="C727" s="3">
        <v>10</v>
      </c>
      <c r="D727" s="15" t="s">
        <v>546</v>
      </c>
      <c r="E727" s="312" t="s">
        <v>115</v>
      </c>
      <c r="G727" s="26">
        <v>0</v>
      </c>
      <c r="H727" s="26">
        <v>6778</v>
      </c>
      <c r="I727" s="26">
        <v>3871</v>
      </c>
      <c r="J727" s="26">
        <v>4564</v>
      </c>
      <c r="K727" s="26">
        <v>6000</v>
      </c>
      <c r="L727" s="26">
        <v>2086</v>
      </c>
      <c r="M727" s="26">
        <v>6000</v>
      </c>
      <c r="N727" s="26">
        <v>6000</v>
      </c>
      <c r="O727" s="285"/>
      <c r="P727" s="202">
        <v>711</v>
      </c>
      <c r="Q727" s="210">
        <v>10</v>
      </c>
      <c r="R727" s="205" t="s">
        <v>163</v>
      </c>
      <c r="S727" s="206"/>
      <c r="T727" s="211">
        <v>58050</v>
      </c>
      <c r="U727" s="211">
        <v>10995.58</v>
      </c>
      <c r="V727" s="213">
        <v>45633.51</v>
      </c>
      <c r="W727" s="213">
        <v>0</v>
      </c>
    </row>
    <row r="728" spans="1:23" ht="15" customHeight="1">
      <c r="C728" s="3">
        <v>10</v>
      </c>
      <c r="D728" s="15" t="s">
        <v>547</v>
      </c>
      <c r="E728" s="312" t="s">
        <v>117</v>
      </c>
      <c r="G728" s="26">
        <v>133</v>
      </c>
      <c r="H728" s="26">
        <v>369</v>
      </c>
      <c r="I728" s="26">
        <v>96</v>
      </c>
      <c r="J728" s="26">
        <v>170</v>
      </c>
      <c r="K728" s="26">
        <v>250</v>
      </c>
      <c r="L728" s="26">
        <v>0</v>
      </c>
      <c r="M728" s="26">
        <v>250</v>
      </c>
      <c r="N728" s="26">
        <v>250</v>
      </c>
      <c r="O728" s="285"/>
      <c r="P728" s="202">
        <v>712</v>
      </c>
      <c r="Q728" s="210">
        <v>10</v>
      </c>
      <c r="R728" s="205" t="s">
        <v>245</v>
      </c>
      <c r="S728" s="206"/>
      <c r="T728" s="211"/>
      <c r="U728" s="211"/>
      <c r="V728" s="213"/>
      <c r="W728" s="213"/>
    </row>
    <row r="729" spans="1:23" ht="15" customHeight="1">
      <c r="C729" s="3">
        <v>10</v>
      </c>
      <c r="D729" s="15" t="s">
        <v>548</v>
      </c>
      <c r="E729" s="312" t="s">
        <v>119</v>
      </c>
      <c r="G729" s="26">
        <v>791</v>
      </c>
      <c r="H729" s="26">
        <v>972</v>
      </c>
      <c r="I729" s="26">
        <v>1055</v>
      </c>
      <c r="J729" s="26">
        <v>756</v>
      </c>
      <c r="K729" s="26">
        <v>1300</v>
      </c>
      <c r="L729" s="26">
        <v>410</v>
      </c>
      <c r="M729" s="26">
        <v>1100</v>
      </c>
      <c r="N729" s="26">
        <v>1100</v>
      </c>
      <c r="O729" s="285"/>
      <c r="P729" s="202">
        <v>713</v>
      </c>
      <c r="Q729" s="210">
        <v>10</v>
      </c>
      <c r="R729" s="205" t="s">
        <v>2628</v>
      </c>
      <c r="S729" s="206"/>
      <c r="T729" s="211"/>
      <c r="U729" s="211"/>
      <c r="V729" s="213"/>
      <c r="W729" s="213"/>
    </row>
    <row r="730" spans="1:23" ht="15" customHeight="1">
      <c r="C730" s="3">
        <v>10</v>
      </c>
      <c r="D730" s="15" t="s">
        <v>549</v>
      </c>
      <c r="E730" s="312" t="s">
        <v>121</v>
      </c>
      <c r="G730" s="26">
        <v>1211</v>
      </c>
      <c r="H730" s="26">
        <v>1659</v>
      </c>
      <c r="I730" s="26">
        <v>1491</v>
      </c>
      <c r="J730" s="26">
        <v>1208</v>
      </c>
      <c r="K730" s="26">
        <v>1500</v>
      </c>
      <c r="L730" s="26">
        <v>671</v>
      </c>
      <c r="M730" s="26">
        <v>1400</v>
      </c>
      <c r="N730" s="26">
        <v>1500</v>
      </c>
      <c r="O730" s="285"/>
      <c r="P730" s="202">
        <v>714</v>
      </c>
      <c r="Q730" s="210">
        <v>10</v>
      </c>
      <c r="R730" s="205" t="s">
        <v>607</v>
      </c>
      <c r="S730" s="206" t="s">
        <v>329</v>
      </c>
      <c r="T730" s="211">
        <v>8590</v>
      </c>
      <c r="U730" s="211">
        <v>0</v>
      </c>
      <c r="V730" s="213">
        <v>0</v>
      </c>
      <c r="W730" s="213">
        <v>0</v>
      </c>
    </row>
    <row r="731" spans="1:23" ht="15" customHeight="1">
      <c r="C731" s="3">
        <v>10</v>
      </c>
      <c r="D731" s="15" t="s">
        <v>550</v>
      </c>
      <c r="E731" s="312" t="s">
        <v>123</v>
      </c>
      <c r="G731" s="26">
        <v>881</v>
      </c>
      <c r="H731" s="26">
        <v>246</v>
      </c>
      <c r="I731" s="26">
        <v>215</v>
      </c>
      <c r="J731" s="26">
        <v>286</v>
      </c>
      <c r="K731" s="26">
        <v>500</v>
      </c>
      <c r="L731" s="26">
        <v>454</v>
      </c>
      <c r="M731" s="26">
        <v>600</v>
      </c>
      <c r="N731" s="26">
        <v>600</v>
      </c>
      <c r="O731" s="285"/>
      <c r="P731" s="202">
        <v>715</v>
      </c>
      <c r="Q731" s="210">
        <v>10</v>
      </c>
      <c r="R731" s="205" t="s">
        <v>608</v>
      </c>
      <c r="S731" s="206" t="s">
        <v>165</v>
      </c>
      <c r="T731" s="211">
        <v>0</v>
      </c>
      <c r="U731" s="211">
        <v>0</v>
      </c>
      <c r="V731" s="213">
        <v>0</v>
      </c>
      <c r="W731" s="213">
        <v>0</v>
      </c>
    </row>
    <row r="732" spans="1:23" ht="15" customHeight="1">
      <c r="C732" s="3">
        <v>10</v>
      </c>
      <c r="D732" s="15" t="s">
        <v>551</v>
      </c>
      <c r="E732" s="312" t="s">
        <v>125</v>
      </c>
      <c r="G732" s="26">
        <v>3419</v>
      </c>
      <c r="H732" s="26">
        <v>0</v>
      </c>
      <c r="I732" s="26">
        <v>0</v>
      </c>
      <c r="J732" s="26">
        <v>0</v>
      </c>
      <c r="K732" s="26">
        <v>0</v>
      </c>
      <c r="L732" s="26">
        <v>0</v>
      </c>
      <c r="M732" s="26">
        <v>0</v>
      </c>
      <c r="N732" s="26">
        <v>0</v>
      </c>
      <c r="O732" s="285"/>
      <c r="P732" s="202">
        <v>716</v>
      </c>
      <c r="Q732" s="210">
        <v>10</v>
      </c>
      <c r="R732" s="205" t="s">
        <v>609</v>
      </c>
      <c r="S732" s="206" t="s">
        <v>167</v>
      </c>
      <c r="T732" s="211">
        <v>0</v>
      </c>
      <c r="U732" s="211">
        <v>0</v>
      </c>
      <c r="V732" s="213">
        <v>0</v>
      </c>
      <c r="W732" s="213">
        <v>0</v>
      </c>
    </row>
    <row r="733" spans="1:23" ht="15" customHeight="1">
      <c r="C733" s="3">
        <v>10</v>
      </c>
      <c r="D733" s="15" t="s">
        <v>552</v>
      </c>
      <c r="E733" s="312" t="s">
        <v>553</v>
      </c>
      <c r="G733" s="26">
        <v>0</v>
      </c>
      <c r="H733" s="26">
        <v>0</v>
      </c>
      <c r="I733" s="26">
        <v>0</v>
      </c>
      <c r="J733" s="26">
        <v>0</v>
      </c>
      <c r="K733" s="26">
        <v>0</v>
      </c>
      <c r="L733" s="26">
        <v>0</v>
      </c>
      <c r="M733" s="26">
        <v>0</v>
      </c>
      <c r="N733" s="26">
        <v>0</v>
      </c>
      <c r="O733" s="285"/>
      <c r="P733" s="202">
        <v>717</v>
      </c>
      <c r="Q733" s="210">
        <v>10</v>
      </c>
      <c r="R733" s="205" t="s">
        <v>610</v>
      </c>
      <c r="S733" s="206" t="s">
        <v>247</v>
      </c>
      <c r="T733" s="211">
        <v>17000</v>
      </c>
      <c r="U733" s="211">
        <v>0</v>
      </c>
      <c r="V733" s="213">
        <v>0</v>
      </c>
      <c r="W733" s="213">
        <v>0</v>
      </c>
    </row>
    <row r="734" spans="1:23" ht="15" customHeight="1">
      <c r="C734" s="3">
        <v>10</v>
      </c>
      <c r="D734" s="15" t="s">
        <v>554</v>
      </c>
      <c r="E734" s="312" t="s">
        <v>106</v>
      </c>
      <c r="G734" s="26">
        <v>0</v>
      </c>
      <c r="H734" s="26">
        <v>42997</v>
      </c>
      <c r="I734" s="26">
        <v>52826</v>
      </c>
      <c r="J734" s="26">
        <v>71120</v>
      </c>
      <c r="K734" s="26">
        <v>57000</v>
      </c>
      <c r="L734" s="26">
        <v>33785</v>
      </c>
      <c r="M734" s="26">
        <v>58000</v>
      </c>
      <c r="N734" s="26">
        <v>57000</v>
      </c>
      <c r="O734" s="285"/>
      <c r="P734" s="202">
        <v>718</v>
      </c>
      <c r="Q734" s="210">
        <v>10</v>
      </c>
      <c r="R734" s="205" t="s">
        <v>611</v>
      </c>
      <c r="S734" s="206" t="s">
        <v>461</v>
      </c>
      <c r="T734" s="211">
        <v>-40000</v>
      </c>
      <c r="U734" s="211">
        <v>0</v>
      </c>
      <c r="V734" s="213">
        <v>0</v>
      </c>
      <c r="W734" s="213">
        <v>0</v>
      </c>
    </row>
    <row r="735" spans="1:23" ht="15" customHeight="1">
      <c r="C735" s="3">
        <v>10</v>
      </c>
      <c r="D735" s="15" t="s">
        <v>555</v>
      </c>
      <c r="E735" s="312" t="s">
        <v>197</v>
      </c>
      <c r="G735" s="26">
        <v>0</v>
      </c>
      <c r="H735" s="26">
        <v>0</v>
      </c>
      <c r="I735" s="26">
        <v>0</v>
      </c>
      <c r="J735" s="26">
        <v>0</v>
      </c>
      <c r="K735" s="26">
        <v>0</v>
      </c>
      <c r="L735" s="26">
        <v>0</v>
      </c>
      <c r="M735" s="26">
        <v>0</v>
      </c>
      <c r="N735" s="26">
        <v>0</v>
      </c>
      <c r="O735" s="285"/>
      <c r="P735" s="202">
        <v>719</v>
      </c>
      <c r="Q735" s="210">
        <v>10</v>
      </c>
      <c r="R735" s="205" t="s">
        <v>612</v>
      </c>
      <c r="S735" s="206" t="s">
        <v>382</v>
      </c>
      <c r="T735" s="211">
        <v>50000</v>
      </c>
      <c r="U735" s="211">
        <v>31451.599999999999</v>
      </c>
      <c r="V735" s="213">
        <v>51295.6</v>
      </c>
      <c r="W735" s="213">
        <v>102.59</v>
      </c>
    </row>
    <row r="736" spans="1:23" ht="15" customHeight="1">
      <c r="C736" s="3">
        <v>10</v>
      </c>
      <c r="D736" s="15" t="s">
        <v>556</v>
      </c>
      <c r="E736" s="312" t="s">
        <v>128</v>
      </c>
      <c r="G736" s="26">
        <v>302</v>
      </c>
      <c r="H736" s="26">
        <v>10</v>
      </c>
      <c r="I736" s="26">
        <v>248</v>
      </c>
      <c r="J736" s="26">
        <v>489</v>
      </c>
      <c r="K736" s="26">
        <v>500</v>
      </c>
      <c r="L736" s="26">
        <v>399</v>
      </c>
      <c r="M736" s="26">
        <v>500</v>
      </c>
      <c r="N736" s="26">
        <v>500</v>
      </c>
      <c r="O736" s="285"/>
      <c r="P736" s="202">
        <v>720</v>
      </c>
      <c r="Q736" s="210">
        <v>10</v>
      </c>
      <c r="R736" s="205" t="s">
        <v>613</v>
      </c>
      <c r="S736" s="206" t="s">
        <v>173</v>
      </c>
      <c r="T736" s="211">
        <v>0</v>
      </c>
      <c r="U736" s="211">
        <v>0</v>
      </c>
      <c r="V736" s="213">
        <v>0</v>
      </c>
      <c r="W736" s="213">
        <v>0</v>
      </c>
    </row>
    <row r="737" spans="1:23" ht="15" customHeight="1">
      <c r="C737" s="3">
        <v>10</v>
      </c>
      <c r="D737" s="15" t="s">
        <v>557</v>
      </c>
      <c r="E737" s="312" t="s">
        <v>200</v>
      </c>
      <c r="G737" s="26">
        <v>2780</v>
      </c>
      <c r="H737" s="26">
        <v>9079</v>
      </c>
      <c r="I737" s="26">
        <v>8142</v>
      </c>
      <c r="J737" s="26">
        <v>6108</v>
      </c>
      <c r="K737" s="26">
        <v>7000</v>
      </c>
      <c r="L737" s="26">
        <v>6704</v>
      </c>
      <c r="M737" s="26">
        <v>7000</v>
      </c>
      <c r="N737" s="26">
        <v>7000</v>
      </c>
      <c r="O737" s="285"/>
      <c r="P737" s="202">
        <v>721</v>
      </c>
      <c r="Q737" s="210">
        <v>10</v>
      </c>
      <c r="R737" s="205" t="s">
        <v>614</v>
      </c>
      <c r="S737" s="206" t="s">
        <v>244</v>
      </c>
      <c r="T737" s="211">
        <v>0</v>
      </c>
      <c r="U737" s="211">
        <v>0</v>
      </c>
      <c r="V737" s="213">
        <v>0</v>
      </c>
      <c r="W737" s="213">
        <v>0</v>
      </c>
    </row>
    <row r="738" spans="1:23" ht="15" customHeight="1">
      <c r="C738" s="3">
        <v>10</v>
      </c>
      <c r="D738" s="15" t="s">
        <v>558</v>
      </c>
      <c r="E738" s="312" t="s">
        <v>202</v>
      </c>
      <c r="G738" s="26">
        <v>0</v>
      </c>
      <c r="H738" s="26">
        <v>0</v>
      </c>
      <c r="I738" s="26">
        <v>0</v>
      </c>
      <c r="J738" s="26">
        <v>0</v>
      </c>
      <c r="K738" s="26">
        <v>0</v>
      </c>
      <c r="L738" s="26">
        <v>0</v>
      </c>
      <c r="M738" s="26">
        <v>0</v>
      </c>
      <c r="N738" s="26">
        <v>0</v>
      </c>
      <c r="O738" s="285"/>
      <c r="P738" s="202">
        <v>722</v>
      </c>
      <c r="Q738" s="210">
        <v>10</v>
      </c>
      <c r="R738" s="205" t="s">
        <v>2623</v>
      </c>
      <c r="S738" s="206"/>
      <c r="T738" s="211"/>
      <c r="U738" s="211"/>
      <c r="V738" s="213"/>
      <c r="W738" s="213"/>
    </row>
    <row r="739" spans="1:23" ht="15" customHeight="1">
      <c r="C739" s="3">
        <v>10</v>
      </c>
      <c r="D739" s="15" t="s">
        <v>559</v>
      </c>
      <c r="E739" s="312" t="s">
        <v>130</v>
      </c>
      <c r="G739" s="26">
        <v>73485</v>
      </c>
      <c r="H739" s="26">
        <v>1347</v>
      </c>
      <c r="I739" s="26">
        <v>1630</v>
      </c>
      <c r="J739" s="26">
        <v>2189</v>
      </c>
      <c r="K739" s="26">
        <v>2000</v>
      </c>
      <c r="L739" s="26">
        <v>1173</v>
      </c>
      <c r="M739" s="26">
        <v>2000</v>
      </c>
      <c r="N739" s="26">
        <v>2100</v>
      </c>
      <c r="O739" s="285"/>
      <c r="P739" s="202">
        <v>723</v>
      </c>
      <c r="Q739" s="210">
        <v>10</v>
      </c>
      <c r="R739" s="205" t="s">
        <v>245</v>
      </c>
      <c r="S739" s="206"/>
      <c r="T739" s="211">
        <v>35590</v>
      </c>
      <c r="U739" s="211">
        <v>31451.599999999999</v>
      </c>
      <c r="V739" s="213">
        <v>51295.6</v>
      </c>
      <c r="W739" s="213">
        <v>0</v>
      </c>
    </row>
    <row r="740" spans="1:23" ht="15" customHeight="1">
      <c r="C740" s="3">
        <v>10</v>
      </c>
      <c r="D740" s="15" t="s">
        <v>560</v>
      </c>
      <c r="E740" s="312" t="s">
        <v>132</v>
      </c>
      <c r="G740" s="26">
        <v>16277</v>
      </c>
      <c r="H740" s="26">
        <v>6838</v>
      </c>
      <c r="I740" s="26">
        <v>8050</v>
      </c>
      <c r="J740" s="26">
        <v>9577</v>
      </c>
      <c r="K740" s="26">
        <v>9000</v>
      </c>
      <c r="L740" s="26">
        <v>2067</v>
      </c>
      <c r="M740" s="26">
        <v>5000</v>
      </c>
      <c r="N740" s="26">
        <v>5500</v>
      </c>
      <c r="O740" s="285"/>
      <c r="P740" s="202">
        <v>724</v>
      </c>
      <c r="Q740" s="210">
        <v>10</v>
      </c>
      <c r="R740" s="205" t="s">
        <v>2623</v>
      </c>
      <c r="S740" s="206"/>
      <c r="T740" s="211"/>
      <c r="U740" s="211"/>
      <c r="V740" s="213"/>
      <c r="W740" s="213"/>
    </row>
    <row r="741" spans="1:23" ht="15" customHeight="1">
      <c r="C741" s="3">
        <v>10</v>
      </c>
      <c r="D741" s="15" t="s">
        <v>561</v>
      </c>
      <c r="E741" s="312" t="s">
        <v>206</v>
      </c>
      <c r="G741" s="26">
        <v>681</v>
      </c>
      <c r="H741" s="26">
        <v>1057</v>
      </c>
      <c r="I741" s="26">
        <v>1414</v>
      </c>
      <c r="J741" s="26">
        <v>1347</v>
      </c>
      <c r="K741" s="26">
        <v>1600</v>
      </c>
      <c r="L741" s="26">
        <v>695</v>
      </c>
      <c r="M741" s="26">
        <v>1400</v>
      </c>
      <c r="N741" s="26">
        <v>1500</v>
      </c>
      <c r="O741" s="285"/>
      <c r="P741" s="202">
        <v>725</v>
      </c>
      <c r="Q741" s="210">
        <v>10</v>
      </c>
      <c r="R741" s="205" t="s">
        <v>8</v>
      </c>
      <c r="S741" s="206"/>
      <c r="T741" s="211">
        <v>1925049</v>
      </c>
      <c r="U741" s="211">
        <v>189542.96</v>
      </c>
      <c r="V741" s="213">
        <v>1289763.8400000001</v>
      </c>
      <c r="W741" s="213">
        <v>67</v>
      </c>
    </row>
    <row r="742" spans="1:23" ht="15" customHeight="1">
      <c r="C742" s="3">
        <v>10</v>
      </c>
      <c r="D742" s="15" t="s">
        <v>562</v>
      </c>
      <c r="E742" s="312" t="s">
        <v>208</v>
      </c>
      <c r="G742" s="26">
        <v>374</v>
      </c>
      <c r="H742" s="26">
        <v>1339</v>
      </c>
      <c r="I742" s="26">
        <v>1888</v>
      </c>
      <c r="J742" s="26">
        <v>1710</v>
      </c>
      <c r="K742" s="26">
        <v>2000</v>
      </c>
      <c r="L742" s="26">
        <v>342</v>
      </c>
      <c r="M742" s="26">
        <v>800</v>
      </c>
      <c r="N742" s="26">
        <v>1000</v>
      </c>
      <c r="O742" s="285"/>
      <c r="P742" s="202">
        <v>726</v>
      </c>
      <c r="Q742" s="210">
        <v>10</v>
      </c>
      <c r="R742" s="205" t="s">
        <v>2621</v>
      </c>
      <c r="S742" s="206"/>
      <c r="T742" s="211"/>
      <c r="U742" s="211"/>
      <c r="V742" s="213"/>
      <c r="W742" s="213"/>
    </row>
    <row r="743" spans="1:23" ht="15" customHeight="1">
      <c r="C743" s="3">
        <v>10</v>
      </c>
      <c r="D743" s="15" t="s">
        <v>563</v>
      </c>
      <c r="E743" s="312" t="s">
        <v>210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85"/>
      <c r="P743" s="202">
        <v>727</v>
      </c>
      <c r="Q743" s="210">
        <v>10</v>
      </c>
      <c r="R743" s="205" t="s">
        <v>2622</v>
      </c>
      <c r="S743" s="206"/>
      <c r="T743" s="211"/>
      <c r="U743" s="211"/>
      <c r="V743" s="213"/>
      <c r="W743" s="213"/>
    </row>
    <row r="744" spans="1:23" ht="15" customHeight="1">
      <c r="C744" s="3">
        <v>10</v>
      </c>
      <c r="D744" s="15" t="s">
        <v>564</v>
      </c>
      <c r="E744" s="312" t="s">
        <v>134</v>
      </c>
      <c r="G744" s="26">
        <v>3920</v>
      </c>
      <c r="H744" s="26">
        <v>2681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85"/>
      <c r="P744" s="202">
        <v>728</v>
      </c>
      <c r="Q744" s="210">
        <v>10</v>
      </c>
      <c r="R744" s="205" t="s">
        <v>615</v>
      </c>
      <c r="S744" s="206" t="s">
        <v>79</v>
      </c>
      <c r="T744" s="211">
        <v>543018</v>
      </c>
      <c r="U744" s="211">
        <v>45458.54</v>
      </c>
      <c r="V744" s="213">
        <v>359925.73</v>
      </c>
      <c r="W744" s="213">
        <v>66.28</v>
      </c>
    </row>
    <row r="745" spans="1:23" ht="15" customHeight="1">
      <c r="C745" s="3">
        <v>10</v>
      </c>
      <c r="D745" s="15" t="s">
        <v>565</v>
      </c>
      <c r="E745" s="312" t="s">
        <v>566</v>
      </c>
      <c r="G745" s="26">
        <v>0</v>
      </c>
      <c r="H745" s="26">
        <v>2889</v>
      </c>
      <c r="I745" s="26">
        <v>1279</v>
      </c>
      <c r="J745" s="26">
        <v>1201</v>
      </c>
      <c r="K745" s="26">
        <v>2000</v>
      </c>
      <c r="L745" s="26">
        <v>1019</v>
      </c>
      <c r="M745" s="26">
        <v>2000</v>
      </c>
      <c r="N745" s="26">
        <v>2500</v>
      </c>
      <c r="O745" s="285" t="s">
        <v>2659</v>
      </c>
      <c r="P745" s="202">
        <v>729</v>
      </c>
      <c r="Q745" s="210">
        <v>10</v>
      </c>
      <c r="R745" s="205" t="s">
        <v>616</v>
      </c>
      <c r="S745" s="206" t="s">
        <v>81</v>
      </c>
      <c r="T745" s="211">
        <v>106545</v>
      </c>
      <c r="U745" s="211">
        <v>8618.57</v>
      </c>
      <c r="V745" s="213">
        <v>69169.759999999995</v>
      </c>
      <c r="W745" s="213">
        <v>64.92</v>
      </c>
    </row>
    <row r="746" spans="1:23" ht="15" customHeight="1">
      <c r="C746" s="3">
        <v>10</v>
      </c>
      <c r="D746" s="15" t="s">
        <v>567</v>
      </c>
      <c r="E746" s="312" t="s">
        <v>213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85"/>
      <c r="P746" s="202">
        <v>730</v>
      </c>
      <c r="Q746" s="210">
        <v>10</v>
      </c>
      <c r="R746" s="205" t="s">
        <v>617</v>
      </c>
      <c r="S746" s="206" t="s">
        <v>83</v>
      </c>
      <c r="T746" s="211">
        <v>59</v>
      </c>
      <c r="U746" s="211">
        <v>0</v>
      </c>
      <c r="V746" s="213">
        <v>0</v>
      </c>
      <c r="W746" s="213">
        <v>0</v>
      </c>
    </row>
    <row r="747" spans="1:23" ht="15" customHeight="1">
      <c r="C747" s="3">
        <v>10</v>
      </c>
      <c r="D747" s="15" t="s">
        <v>568</v>
      </c>
      <c r="E747" s="312" t="s">
        <v>569</v>
      </c>
      <c r="G747" s="26">
        <v>873</v>
      </c>
      <c r="H747" s="26">
        <v>236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85"/>
      <c r="P747" s="202">
        <v>731</v>
      </c>
      <c r="Q747" s="210">
        <v>10</v>
      </c>
      <c r="R747" s="205" t="s">
        <v>618</v>
      </c>
      <c r="S747" s="206" t="s">
        <v>85</v>
      </c>
      <c r="T747" s="211">
        <v>3366</v>
      </c>
      <c r="U747" s="211">
        <v>0</v>
      </c>
      <c r="V747" s="213">
        <v>4468.1499999999996</v>
      </c>
      <c r="W747" s="213">
        <v>132.74</v>
      </c>
    </row>
    <row r="748" spans="1:23" ht="15" customHeight="1">
      <c r="G748" s="26"/>
      <c r="H748" s="26"/>
      <c r="I748" s="26"/>
      <c r="J748" s="26"/>
      <c r="K748" s="26"/>
      <c r="L748" s="26"/>
      <c r="M748" s="26"/>
      <c r="N748" s="26"/>
      <c r="P748" s="202">
        <v>732</v>
      </c>
      <c r="Q748" s="210">
        <v>10</v>
      </c>
      <c r="R748" s="205" t="s">
        <v>619</v>
      </c>
      <c r="S748" s="206" t="s">
        <v>87</v>
      </c>
      <c r="T748" s="211">
        <v>41650</v>
      </c>
      <c r="U748" s="211">
        <v>4367.29</v>
      </c>
      <c r="V748" s="213">
        <v>32561.54</v>
      </c>
      <c r="W748" s="213">
        <v>78.180000000000007</v>
      </c>
    </row>
    <row r="749" spans="1:23" s="200" customFormat="1" ht="15" customHeight="1">
      <c r="A749" s="196" t="s">
        <v>104</v>
      </c>
      <c r="B749" s="196" t="s">
        <v>2317</v>
      </c>
      <c r="C749" s="75"/>
      <c r="D749" s="323" t="s">
        <v>2076</v>
      </c>
      <c r="E749" s="323"/>
      <c r="F749" s="324"/>
      <c r="G749" s="325">
        <f>SUM(G725:G748)</f>
        <v>105127</v>
      </c>
      <c r="H749" s="325">
        <f t="shared" ref="H749:N749" si="71">SUM(H725:H748)</f>
        <v>78497</v>
      </c>
      <c r="I749" s="325">
        <f t="shared" si="71"/>
        <v>82205</v>
      </c>
      <c r="J749" s="325">
        <f t="shared" si="71"/>
        <v>100725</v>
      </c>
      <c r="K749" s="325">
        <f t="shared" si="71"/>
        <v>90650</v>
      </c>
      <c r="L749" s="325">
        <f t="shared" si="71"/>
        <v>49805</v>
      </c>
      <c r="M749" s="325">
        <f t="shared" si="71"/>
        <v>86050</v>
      </c>
      <c r="N749" s="325">
        <f t="shared" si="71"/>
        <v>86550</v>
      </c>
      <c r="O749" s="287"/>
      <c r="P749" s="202">
        <v>733</v>
      </c>
      <c r="Q749" s="210">
        <v>10</v>
      </c>
      <c r="R749" s="205" t="s">
        <v>620</v>
      </c>
      <c r="S749" s="206" t="s">
        <v>89</v>
      </c>
      <c r="T749" s="211">
        <v>87209</v>
      </c>
      <c r="U749" s="211">
        <v>9532.7000000000007</v>
      </c>
      <c r="V749" s="213">
        <v>71827.070000000007</v>
      </c>
      <c r="W749" s="213">
        <v>82.36</v>
      </c>
    </row>
    <row r="750" spans="1:23" s="46" customFormat="1" ht="15" customHeight="1">
      <c r="A750" s="2"/>
      <c r="B750" s="2"/>
      <c r="C750" s="3"/>
      <c r="D750" s="47"/>
      <c r="E750" s="47"/>
      <c r="F750" s="191"/>
      <c r="G750" s="48"/>
      <c r="H750" s="48"/>
      <c r="I750" s="48"/>
      <c r="J750" s="48"/>
      <c r="K750" s="48"/>
      <c r="L750" s="48"/>
      <c r="M750" s="48"/>
      <c r="N750" s="48"/>
      <c r="O750" s="289"/>
      <c r="P750" s="202">
        <v>734</v>
      </c>
      <c r="Q750" s="210">
        <v>10</v>
      </c>
      <c r="R750" s="205" t="s">
        <v>621</v>
      </c>
      <c r="S750" s="206" t="s">
        <v>91</v>
      </c>
      <c r="T750" s="211">
        <v>63000</v>
      </c>
      <c r="U750" s="211">
        <v>8803.6299999999992</v>
      </c>
      <c r="V750" s="213">
        <v>53221.01</v>
      </c>
      <c r="W750" s="213">
        <v>84.48</v>
      </c>
    </row>
    <row r="751" spans="1:23" ht="15" customHeight="1">
      <c r="D751" s="47" t="s">
        <v>2077</v>
      </c>
      <c r="G751" s="26"/>
      <c r="H751" s="26"/>
      <c r="I751" s="26"/>
      <c r="J751" s="26"/>
      <c r="K751" s="26"/>
      <c r="L751" s="26"/>
      <c r="M751" s="26"/>
      <c r="N751" s="26"/>
      <c r="P751" s="202">
        <v>735</v>
      </c>
      <c r="Q751" s="210">
        <v>10</v>
      </c>
      <c r="R751" s="205" t="s">
        <v>622</v>
      </c>
      <c r="S751" s="206" t="s">
        <v>93</v>
      </c>
      <c r="T751" s="211">
        <v>5500</v>
      </c>
      <c r="U751" s="211">
        <v>887.51</v>
      </c>
      <c r="V751" s="213">
        <v>3895.19</v>
      </c>
      <c r="W751" s="213">
        <v>70.819999999999993</v>
      </c>
    </row>
    <row r="752" spans="1:23" ht="15" customHeight="1">
      <c r="G752" s="26"/>
      <c r="H752" s="26"/>
      <c r="I752" s="26"/>
      <c r="J752" s="26"/>
      <c r="K752" s="26"/>
      <c r="L752" s="26"/>
      <c r="M752" s="26"/>
      <c r="N752" s="26"/>
      <c r="P752" s="202">
        <v>736</v>
      </c>
      <c r="Q752" s="210">
        <v>10</v>
      </c>
      <c r="R752" s="205" t="s">
        <v>623</v>
      </c>
      <c r="S752" s="206" t="s">
        <v>95</v>
      </c>
      <c r="T752" s="211">
        <v>9500</v>
      </c>
      <c r="U752" s="211">
        <v>3300</v>
      </c>
      <c r="V752" s="213">
        <v>19562.5</v>
      </c>
      <c r="W752" s="213">
        <v>205.92</v>
      </c>
    </row>
    <row r="753" spans="3:23" ht="15" customHeight="1">
      <c r="C753" s="3">
        <v>10</v>
      </c>
      <c r="D753" s="15" t="s">
        <v>570</v>
      </c>
      <c r="E753" s="312" t="s">
        <v>137</v>
      </c>
      <c r="G753" s="26">
        <v>10966</v>
      </c>
      <c r="H753" s="26">
        <v>10668</v>
      </c>
      <c r="I753" s="26">
        <v>8413</v>
      </c>
      <c r="J753" s="26">
        <v>9265</v>
      </c>
      <c r="K753" s="26">
        <v>11000</v>
      </c>
      <c r="L753" s="26">
        <v>5631</v>
      </c>
      <c r="M753" s="26">
        <v>12000</v>
      </c>
      <c r="N753" s="26">
        <v>12000</v>
      </c>
      <c r="O753" s="285"/>
      <c r="P753" s="202">
        <v>737</v>
      </c>
      <c r="Q753" s="210">
        <v>10</v>
      </c>
      <c r="R753" s="205" t="s">
        <v>624</v>
      </c>
      <c r="S753" s="206" t="s">
        <v>97</v>
      </c>
      <c r="T753" s="211">
        <v>7969</v>
      </c>
      <c r="U753" s="211">
        <v>782</v>
      </c>
      <c r="V753" s="213">
        <v>5836.25</v>
      </c>
      <c r="W753" s="213">
        <v>73.239999999999995</v>
      </c>
    </row>
    <row r="754" spans="3:23" ht="15" customHeight="1">
      <c r="C754" s="3">
        <v>10</v>
      </c>
      <c r="D754" s="15" t="s">
        <v>571</v>
      </c>
      <c r="E754" s="312" t="s">
        <v>572</v>
      </c>
      <c r="G754" s="26">
        <v>-7</v>
      </c>
      <c r="H754" s="26">
        <v>-3</v>
      </c>
      <c r="I754" s="26">
        <v>-1</v>
      </c>
      <c r="J754" s="26">
        <v>-3</v>
      </c>
      <c r="K754" s="26">
        <v>0</v>
      </c>
      <c r="L754" s="26">
        <v>0</v>
      </c>
      <c r="M754" s="26">
        <v>0</v>
      </c>
      <c r="N754" s="26">
        <v>0</v>
      </c>
      <c r="O754" s="285"/>
      <c r="P754" s="202">
        <v>738</v>
      </c>
      <c r="Q754" s="210">
        <v>10</v>
      </c>
      <c r="R754" s="205" t="s">
        <v>625</v>
      </c>
      <c r="S754" s="206" t="s">
        <v>99</v>
      </c>
      <c r="T754" s="211">
        <v>943</v>
      </c>
      <c r="U754" s="211">
        <v>0</v>
      </c>
      <c r="V754" s="213">
        <v>956.16</v>
      </c>
      <c r="W754" s="213">
        <v>101.4</v>
      </c>
    </row>
    <row r="755" spans="3:23" ht="15" customHeight="1">
      <c r="C755" s="3">
        <v>10</v>
      </c>
      <c r="D755" s="15" t="s">
        <v>573</v>
      </c>
      <c r="E755" s="312" t="s">
        <v>216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85"/>
      <c r="P755" s="202">
        <v>739</v>
      </c>
      <c r="Q755" s="210">
        <v>10</v>
      </c>
      <c r="R755" s="205" t="s">
        <v>626</v>
      </c>
      <c r="S755" s="206" t="s">
        <v>101</v>
      </c>
      <c r="T755" s="211">
        <v>0</v>
      </c>
      <c r="U755" s="211">
        <v>0</v>
      </c>
      <c r="V755" s="213">
        <v>0</v>
      </c>
      <c r="W755" s="213">
        <v>0</v>
      </c>
    </row>
    <row r="756" spans="3:23" ht="15" customHeight="1">
      <c r="C756" s="3">
        <v>10</v>
      </c>
      <c r="D756" s="15" t="s">
        <v>574</v>
      </c>
      <c r="E756" s="312" t="s">
        <v>139</v>
      </c>
      <c r="G756" s="26">
        <v>6773</v>
      </c>
      <c r="H756" s="26">
        <v>4721</v>
      </c>
      <c r="I756" s="26">
        <v>3929</v>
      </c>
      <c r="J756" s="26">
        <v>2084</v>
      </c>
      <c r="K756" s="26">
        <v>4500</v>
      </c>
      <c r="L756" s="26">
        <v>687</v>
      </c>
      <c r="M756" s="26">
        <v>2000</v>
      </c>
      <c r="N756" s="26">
        <v>3000</v>
      </c>
      <c r="O756" s="285" t="s">
        <v>2660</v>
      </c>
      <c r="P756" s="202">
        <v>740</v>
      </c>
      <c r="Q756" s="210">
        <v>10</v>
      </c>
      <c r="R756" s="205" t="s">
        <v>627</v>
      </c>
      <c r="S756" s="206" t="s">
        <v>103</v>
      </c>
      <c r="T756" s="211">
        <v>0</v>
      </c>
      <c r="U756" s="211">
        <v>0</v>
      </c>
      <c r="V756" s="213">
        <v>0</v>
      </c>
      <c r="W756" s="213">
        <v>0</v>
      </c>
    </row>
    <row r="757" spans="3:23" ht="15" customHeight="1">
      <c r="C757" s="3">
        <v>10</v>
      </c>
      <c r="D757" s="15" t="s">
        <v>575</v>
      </c>
      <c r="E757" s="312" t="s">
        <v>576</v>
      </c>
      <c r="G757" s="26">
        <v>14471</v>
      </c>
      <c r="H757" s="26">
        <v>8470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85"/>
      <c r="P757" s="202">
        <v>741</v>
      </c>
      <c r="Q757" s="210">
        <v>10</v>
      </c>
      <c r="R757" s="205" t="s">
        <v>2623</v>
      </c>
      <c r="S757" s="206"/>
      <c r="T757" s="211"/>
      <c r="U757" s="211"/>
      <c r="V757" s="213"/>
      <c r="W757" s="213"/>
    </row>
    <row r="758" spans="3:23" ht="15" customHeight="1">
      <c r="C758" s="3">
        <v>10</v>
      </c>
      <c r="D758" s="15" t="s">
        <v>577</v>
      </c>
      <c r="E758" s="312" t="s">
        <v>578</v>
      </c>
      <c r="G758" s="26">
        <v>-2977</v>
      </c>
      <c r="H758" s="26">
        <v>-27097</v>
      </c>
      <c r="I758" s="26">
        <v>0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85"/>
      <c r="P758" s="202">
        <v>742</v>
      </c>
      <c r="Q758" s="210">
        <v>10</v>
      </c>
      <c r="R758" s="205" t="s">
        <v>2621</v>
      </c>
      <c r="S758" s="206"/>
      <c r="T758" s="211">
        <v>868759</v>
      </c>
      <c r="U758" s="211">
        <v>81750.240000000005</v>
      </c>
      <c r="V758" s="213">
        <v>621423.35999999999</v>
      </c>
      <c r="W758" s="213">
        <v>0</v>
      </c>
    </row>
    <row r="759" spans="3:23" ht="15" customHeight="1">
      <c r="C759" s="3">
        <v>10</v>
      </c>
      <c r="D759" s="15" t="s">
        <v>579</v>
      </c>
      <c r="E759" s="312" t="s">
        <v>143</v>
      </c>
      <c r="G759" s="26">
        <v>0</v>
      </c>
      <c r="H759" s="26">
        <v>0</v>
      </c>
      <c r="I759" s="26">
        <v>0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85"/>
      <c r="P759" s="202">
        <v>743</v>
      </c>
      <c r="Q759" s="210">
        <v>10</v>
      </c>
      <c r="R759" s="205" t="s">
        <v>104</v>
      </c>
      <c r="S759" s="206"/>
      <c r="T759" s="211"/>
      <c r="U759" s="211"/>
      <c r="V759" s="213"/>
      <c r="W759" s="213"/>
    </row>
    <row r="760" spans="3:23" ht="15" customHeight="1">
      <c r="C760" s="3">
        <v>10</v>
      </c>
      <c r="D760" s="15" t="s">
        <v>580</v>
      </c>
      <c r="E760" s="312" t="s">
        <v>145</v>
      </c>
      <c r="G760" s="26">
        <v>15307</v>
      </c>
      <c r="H760" s="26">
        <v>12839</v>
      </c>
      <c r="I760" s="26">
        <v>23620</v>
      </c>
      <c r="J760" s="26">
        <v>23443</v>
      </c>
      <c r="K760" s="26">
        <v>22000</v>
      </c>
      <c r="L760" s="26">
        <v>11174</v>
      </c>
      <c r="M760" s="26">
        <v>22000</v>
      </c>
      <c r="N760" s="26">
        <v>23000</v>
      </c>
      <c r="O760" s="285"/>
      <c r="P760" s="202">
        <v>744</v>
      </c>
      <c r="Q760" s="210">
        <v>10</v>
      </c>
      <c r="R760" s="205" t="s">
        <v>2624</v>
      </c>
      <c r="S760" s="206"/>
      <c r="T760" s="211"/>
      <c r="U760" s="211"/>
      <c r="V760" s="213"/>
      <c r="W760" s="213"/>
    </row>
    <row r="761" spans="3:23" ht="15" customHeight="1">
      <c r="C761" s="3">
        <v>10</v>
      </c>
      <c r="D761" s="15" t="s">
        <v>581</v>
      </c>
      <c r="E761" s="312" t="s">
        <v>147</v>
      </c>
      <c r="G761" s="26">
        <v>497</v>
      </c>
      <c r="H761" s="26">
        <v>568</v>
      </c>
      <c r="I761" s="26">
        <v>365</v>
      </c>
      <c r="J761" s="26">
        <v>146</v>
      </c>
      <c r="K761" s="26">
        <v>600</v>
      </c>
      <c r="L761" s="26">
        <v>20</v>
      </c>
      <c r="M761" s="26">
        <v>300</v>
      </c>
      <c r="N761" s="26">
        <v>600</v>
      </c>
      <c r="O761" s="285" t="s">
        <v>2661</v>
      </c>
      <c r="P761" s="202">
        <v>745</v>
      </c>
      <c r="Q761" s="210">
        <v>10</v>
      </c>
      <c r="R761" s="205" t="s">
        <v>628</v>
      </c>
      <c r="S761" s="206" t="s">
        <v>115</v>
      </c>
      <c r="T761" s="211">
        <v>900</v>
      </c>
      <c r="U761" s="211">
        <v>180.17</v>
      </c>
      <c r="V761" s="213">
        <v>967.18</v>
      </c>
      <c r="W761" s="213">
        <v>107.46</v>
      </c>
    </row>
    <row r="762" spans="3:23" ht="15" customHeight="1">
      <c r="C762" s="3">
        <v>10</v>
      </c>
      <c r="D762" s="15" t="s">
        <v>582</v>
      </c>
      <c r="E762" s="312" t="s">
        <v>149</v>
      </c>
      <c r="G762" s="26">
        <v>106</v>
      </c>
      <c r="H762" s="26">
        <v>0</v>
      </c>
      <c r="I762" s="26">
        <v>210</v>
      </c>
      <c r="J762" s="26">
        <v>94</v>
      </c>
      <c r="K762" s="26">
        <v>250</v>
      </c>
      <c r="L762" s="26">
        <v>0</v>
      </c>
      <c r="M762" s="26">
        <v>200</v>
      </c>
      <c r="N762" s="26">
        <v>250</v>
      </c>
      <c r="O762" s="285"/>
      <c r="P762" s="202">
        <v>746</v>
      </c>
      <c r="Q762" s="210">
        <v>10</v>
      </c>
      <c r="R762" s="205" t="s">
        <v>629</v>
      </c>
      <c r="S762" s="206" t="s">
        <v>117</v>
      </c>
      <c r="T762" s="211">
        <v>200</v>
      </c>
      <c r="U762" s="211">
        <v>38.94</v>
      </c>
      <c r="V762" s="213">
        <v>94.72</v>
      </c>
      <c r="W762" s="213">
        <v>47.36</v>
      </c>
    </row>
    <row r="763" spans="3:23" ht="15" customHeight="1">
      <c r="C763" s="3">
        <v>10</v>
      </c>
      <c r="D763" s="15" t="s">
        <v>583</v>
      </c>
      <c r="E763" s="312" t="s">
        <v>151</v>
      </c>
      <c r="G763" s="26">
        <v>308</v>
      </c>
      <c r="H763" s="26">
        <v>462</v>
      </c>
      <c r="I763" s="26">
        <v>396</v>
      </c>
      <c r="J763" s="26">
        <v>416</v>
      </c>
      <c r="K763" s="26">
        <v>450</v>
      </c>
      <c r="L763" s="26">
        <v>321</v>
      </c>
      <c r="M763" s="26">
        <v>450</v>
      </c>
      <c r="N763" s="26">
        <v>500</v>
      </c>
      <c r="O763" s="285"/>
      <c r="P763" s="202">
        <v>747</v>
      </c>
      <c r="Q763" s="210">
        <v>10</v>
      </c>
      <c r="R763" s="205" t="s">
        <v>630</v>
      </c>
      <c r="S763" s="206" t="s">
        <v>119</v>
      </c>
      <c r="T763" s="211">
        <v>250</v>
      </c>
      <c r="U763" s="211">
        <v>0</v>
      </c>
      <c r="V763" s="213">
        <v>179.02</v>
      </c>
      <c r="W763" s="213">
        <v>71.61</v>
      </c>
    </row>
    <row r="764" spans="3:23" ht="15" customHeight="1">
      <c r="C764" s="3">
        <v>10</v>
      </c>
      <c r="D764" s="15" t="s">
        <v>584</v>
      </c>
      <c r="E764" s="312" t="s">
        <v>153</v>
      </c>
      <c r="G764" s="26">
        <v>10282</v>
      </c>
      <c r="H764" s="26">
        <v>12866</v>
      </c>
      <c r="I764" s="26">
        <v>8399</v>
      </c>
      <c r="J764" s="26">
        <v>18851</v>
      </c>
      <c r="K764" s="26">
        <v>20000</v>
      </c>
      <c r="L764" s="26">
        <v>3616</v>
      </c>
      <c r="M764" s="26">
        <v>10000</v>
      </c>
      <c r="N764" s="26">
        <v>18000</v>
      </c>
      <c r="O764" s="285" t="s">
        <v>2662</v>
      </c>
      <c r="P764" s="202">
        <v>748</v>
      </c>
      <c r="Q764" s="210">
        <v>10</v>
      </c>
      <c r="R764" s="205" t="s">
        <v>631</v>
      </c>
      <c r="S764" s="206" t="s">
        <v>121</v>
      </c>
      <c r="T764" s="211">
        <v>0</v>
      </c>
      <c r="U764" s="211">
        <v>0</v>
      </c>
      <c r="V764" s="213">
        <v>58</v>
      </c>
      <c r="W764" s="213">
        <v>0</v>
      </c>
    </row>
    <row r="765" spans="3:23" ht="15" customHeight="1">
      <c r="C765" s="3">
        <v>10</v>
      </c>
      <c r="D765" s="15" t="s">
        <v>585</v>
      </c>
      <c r="E765" s="312" t="s">
        <v>155</v>
      </c>
      <c r="G765" s="26">
        <v>-639</v>
      </c>
      <c r="H765" s="26">
        <v>-195</v>
      </c>
      <c r="I765" s="26">
        <v>-112</v>
      </c>
      <c r="J765" s="26">
        <v>-1027</v>
      </c>
      <c r="K765" s="26">
        <v>0</v>
      </c>
      <c r="L765" s="26">
        <v>-771</v>
      </c>
      <c r="M765" s="26">
        <v>-771</v>
      </c>
      <c r="N765" s="26">
        <v>0</v>
      </c>
      <c r="O765" s="285"/>
      <c r="P765" s="202">
        <v>749</v>
      </c>
      <c r="Q765" s="210">
        <v>10</v>
      </c>
      <c r="R765" s="205" t="s">
        <v>632</v>
      </c>
      <c r="S765" s="206" t="s">
        <v>123</v>
      </c>
      <c r="T765" s="211">
        <v>1000</v>
      </c>
      <c r="U765" s="211">
        <v>0</v>
      </c>
      <c r="V765" s="213">
        <v>861.5</v>
      </c>
      <c r="W765" s="213">
        <v>86.15</v>
      </c>
    </row>
    <row r="766" spans="3:23" ht="15" customHeight="1">
      <c r="C766" s="3">
        <v>10</v>
      </c>
      <c r="D766" s="15" t="s">
        <v>586</v>
      </c>
      <c r="E766" s="312" t="s">
        <v>587</v>
      </c>
      <c r="G766" s="26">
        <v>0</v>
      </c>
      <c r="H766" s="26">
        <v>516</v>
      </c>
      <c r="I766" s="26">
        <v>105</v>
      </c>
      <c r="J766" s="26">
        <v>199</v>
      </c>
      <c r="K766" s="26">
        <v>300</v>
      </c>
      <c r="L766" s="26">
        <v>110</v>
      </c>
      <c r="M766" s="26">
        <v>300</v>
      </c>
      <c r="N766" s="26">
        <v>300</v>
      </c>
      <c r="O766" s="285"/>
      <c r="P766" s="202">
        <v>750</v>
      </c>
      <c r="Q766" s="210">
        <v>10</v>
      </c>
      <c r="R766" s="205" t="s">
        <v>633</v>
      </c>
      <c r="S766" s="206" t="s">
        <v>125</v>
      </c>
      <c r="T766" s="211">
        <v>300</v>
      </c>
      <c r="U766" s="211">
        <v>0</v>
      </c>
      <c r="V766" s="213">
        <v>0</v>
      </c>
      <c r="W766" s="213">
        <v>0</v>
      </c>
    </row>
    <row r="767" spans="3:23" ht="15" customHeight="1">
      <c r="C767" s="3">
        <v>10</v>
      </c>
      <c r="D767" s="15" t="s">
        <v>588</v>
      </c>
      <c r="E767" s="312" t="s">
        <v>589</v>
      </c>
      <c r="G767" s="26">
        <v>0</v>
      </c>
      <c r="H767" s="26">
        <v>0</v>
      </c>
      <c r="I767" s="26">
        <v>0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85"/>
      <c r="P767" s="202">
        <v>751</v>
      </c>
      <c r="Q767" s="210">
        <v>10</v>
      </c>
      <c r="R767" s="205" t="s">
        <v>634</v>
      </c>
      <c r="S767" s="206" t="s">
        <v>106</v>
      </c>
      <c r="T767" s="211">
        <v>14000</v>
      </c>
      <c r="U767" s="211">
        <v>1196.5999999999999</v>
      </c>
      <c r="V767" s="213">
        <v>7499.64</v>
      </c>
      <c r="W767" s="213">
        <v>53.57</v>
      </c>
    </row>
    <row r="768" spans="3:23" ht="15" customHeight="1">
      <c r="C768" s="3">
        <v>10</v>
      </c>
      <c r="D768" s="15" t="s">
        <v>590</v>
      </c>
      <c r="E768" s="312" t="s">
        <v>157</v>
      </c>
      <c r="G768" s="26">
        <v>7884</v>
      </c>
      <c r="H768" s="26">
        <v>7941</v>
      </c>
      <c r="I768" s="26">
        <v>8739</v>
      </c>
      <c r="J768" s="26">
        <v>10006</v>
      </c>
      <c r="K768" s="26">
        <v>10000</v>
      </c>
      <c r="L768" s="26">
        <v>4628</v>
      </c>
      <c r="M768" s="26">
        <v>10000</v>
      </c>
      <c r="N768" s="26">
        <v>10000</v>
      </c>
      <c r="O768" s="285"/>
      <c r="P768" s="202">
        <v>752</v>
      </c>
      <c r="Q768" s="210">
        <v>10</v>
      </c>
      <c r="R768" s="205" t="s">
        <v>635</v>
      </c>
      <c r="S768" s="206" t="s">
        <v>197</v>
      </c>
      <c r="T768" s="211">
        <v>0</v>
      </c>
      <c r="U768" s="211">
        <v>0</v>
      </c>
      <c r="V768" s="213">
        <v>0</v>
      </c>
      <c r="W768" s="213">
        <v>0</v>
      </c>
    </row>
    <row r="769" spans="1:23" ht="15" customHeight="1">
      <c r="C769" s="3">
        <v>10</v>
      </c>
      <c r="D769" s="15" t="s">
        <v>591</v>
      </c>
      <c r="E769" s="312" t="s">
        <v>159</v>
      </c>
      <c r="G769" s="26">
        <v>18906</v>
      </c>
      <c r="H769" s="26">
        <v>23473</v>
      </c>
      <c r="I769" s="26">
        <v>35997</v>
      </c>
      <c r="J769" s="26">
        <v>61718</v>
      </c>
      <c r="K769" s="26">
        <v>67170</v>
      </c>
      <c r="L769" s="26">
        <v>37009</v>
      </c>
      <c r="M769" s="26">
        <v>65000</v>
      </c>
      <c r="N769" s="26">
        <v>64421</v>
      </c>
      <c r="O769" s="285"/>
      <c r="P769" s="202">
        <v>753</v>
      </c>
      <c r="Q769" s="210">
        <v>10</v>
      </c>
      <c r="R769" s="205" t="s">
        <v>636</v>
      </c>
      <c r="S769" s="206" t="s">
        <v>128</v>
      </c>
      <c r="T769" s="211">
        <v>500</v>
      </c>
      <c r="U769" s="211">
        <v>47.79</v>
      </c>
      <c r="V769" s="213">
        <v>151.94</v>
      </c>
      <c r="W769" s="213">
        <v>30.39</v>
      </c>
    </row>
    <row r="770" spans="1:23" ht="15" customHeight="1">
      <c r="C770" s="3">
        <v>10</v>
      </c>
      <c r="D770" s="15" t="s">
        <v>592</v>
      </c>
      <c r="E770" s="312" t="s">
        <v>229</v>
      </c>
      <c r="G770" s="26">
        <v>629</v>
      </c>
      <c r="H770" s="26">
        <v>6249</v>
      </c>
      <c r="I770" s="26">
        <v>3427</v>
      </c>
      <c r="J770" s="26">
        <v>9891</v>
      </c>
      <c r="K770" s="26">
        <v>8253</v>
      </c>
      <c r="L770" s="26">
        <v>5243</v>
      </c>
      <c r="M770" s="26">
        <v>8253</v>
      </c>
      <c r="N770" s="26">
        <v>6675</v>
      </c>
      <c r="O770" s="285">
        <v>71096</v>
      </c>
      <c r="P770" s="202">
        <v>754</v>
      </c>
      <c r="Q770" s="210">
        <v>10</v>
      </c>
      <c r="R770" s="205" t="s">
        <v>637</v>
      </c>
      <c r="S770" s="206" t="s">
        <v>200</v>
      </c>
      <c r="T770" s="211">
        <v>22000</v>
      </c>
      <c r="U770" s="211">
        <v>1465</v>
      </c>
      <c r="V770" s="213">
        <v>19585.23</v>
      </c>
      <c r="W770" s="213">
        <v>89.02</v>
      </c>
    </row>
    <row r="771" spans="1:23" ht="15" customHeight="1">
      <c r="C771" s="3">
        <v>10</v>
      </c>
      <c r="D771" s="15" t="s">
        <v>593</v>
      </c>
      <c r="E771" s="312" t="s">
        <v>162</v>
      </c>
      <c r="G771" s="26">
        <v>710</v>
      </c>
      <c r="H771" s="26">
        <v>443</v>
      </c>
      <c r="I771" s="26">
        <v>68</v>
      </c>
      <c r="J771" s="26">
        <v>94</v>
      </c>
      <c r="K771" s="26">
        <v>200</v>
      </c>
      <c r="L771" s="26">
        <v>115</v>
      </c>
      <c r="M771" s="26">
        <v>275</v>
      </c>
      <c r="N771" s="26">
        <v>300</v>
      </c>
      <c r="O771" s="285"/>
      <c r="P771" s="202">
        <v>755</v>
      </c>
      <c r="Q771" s="210">
        <v>10</v>
      </c>
      <c r="R771" s="205" t="s">
        <v>638</v>
      </c>
      <c r="S771" s="206" t="s">
        <v>202</v>
      </c>
      <c r="T771" s="211">
        <v>0</v>
      </c>
      <c r="U771" s="211">
        <v>0</v>
      </c>
      <c r="V771" s="213">
        <v>0</v>
      </c>
      <c r="W771" s="213">
        <v>0</v>
      </c>
    </row>
    <row r="772" spans="1:23" ht="15" customHeight="1">
      <c r="G772" s="26"/>
      <c r="H772" s="26"/>
      <c r="I772" s="26"/>
      <c r="J772" s="26"/>
      <c r="K772" s="26"/>
      <c r="L772" s="26"/>
      <c r="M772" s="26"/>
      <c r="N772" s="26"/>
      <c r="P772" s="202">
        <v>756</v>
      </c>
      <c r="Q772" s="210">
        <v>10</v>
      </c>
      <c r="R772" s="205" t="s">
        <v>639</v>
      </c>
      <c r="S772" s="206" t="s">
        <v>130</v>
      </c>
      <c r="T772" s="211">
        <v>0</v>
      </c>
      <c r="U772" s="211">
        <v>0</v>
      </c>
      <c r="V772" s="213">
        <v>1038.6300000000001</v>
      </c>
      <c r="W772" s="213">
        <v>0</v>
      </c>
    </row>
    <row r="773" spans="1:23" s="22" customFormat="1" ht="15" customHeight="1">
      <c r="A773" s="2" t="s">
        <v>135</v>
      </c>
      <c r="B773" s="2" t="s">
        <v>2317</v>
      </c>
      <c r="C773" s="3"/>
      <c r="D773" s="323" t="s">
        <v>2078</v>
      </c>
      <c r="E773" s="323"/>
      <c r="F773" s="324"/>
      <c r="G773" s="325">
        <f>SUM(G751:G772)</f>
        <v>83216</v>
      </c>
      <c r="H773" s="325">
        <f t="shared" ref="H773:N773" si="72">SUM(H751:H772)</f>
        <v>61921</v>
      </c>
      <c r="I773" s="325">
        <f t="shared" si="72"/>
        <v>93555</v>
      </c>
      <c r="J773" s="325">
        <f t="shared" si="72"/>
        <v>135177</v>
      </c>
      <c r="K773" s="325">
        <f t="shared" si="72"/>
        <v>144723</v>
      </c>
      <c r="L773" s="325">
        <f t="shared" si="72"/>
        <v>67783</v>
      </c>
      <c r="M773" s="325">
        <f t="shared" si="72"/>
        <v>130007</v>
      </c>
      <c r="N773" s="325">
        <f t="shared" si="72"/>
        <v>139046</v>
      </c>
      <c r="O773" s="290"/>
      <c r="P773" s="202">
        <v>757</v>
      </c>
      <c r="Q773" s="210">
        <v>10</v>
      </c>
      <c r="R773" s="205" t="s">
        <v>640</v>
      </c>
      <c r="S773" s="206" t="s">
        <v>2553</v>
      </c>
      <c r="T773" s="211">
        <v>0</v>
      </c>
      <c r="U773" s="211">
        <v>0</v>
      </c>
      <c r="V773" s="213">
        <v>0</v>
      </c>
      <c r="W773" s="213">
        <v>0</v>
      </c>
    </row>
    <row r="774" spans="1:23" s="46" customFormat="1" ht="15" customHeight="1">
      <c r="A774" s="2"/>
      <c r="B774" s="2"/>
      <c r="C774" s="3"/>
      <c r="D774" s="47"/>
      <c r="E774" s="47"/>
      <c r="F774" s="191"/>
      <c r="G774" s="48"/>
      <c r="H774" s="48"/>
      <c r="I774" s="48"/>
      <c r="J774" s="48"/>
      <c r="K774" s="48"/>
      <c r="L774" s="48"/>
      <c r="M774" s="48"/>
      <c r="N774" s="48"/>
      <c r="O774" s="289"/>
      <c r="P774" s="202">
        <v>758</v>
      </c>
      <c r="Q774" s="210">
        <v>10</v>
      </c>
      <c r="R774" s="205" t="s">
        <v>641</v>
      </c>
      <c r="S774" s="206" t="s">
        <v>132</v>
      </c>
      <c r="T774" s="211">
        <v>3500</v>
      </c>
      <c r="U774" s="211">
        <v>15.37</v>
      </c>
      <c r="V774" s="213">
        <v>2632.93</v>
      </c>
      <c r="W774" s="213">
        <v>75.23</v>
      </c>
    </row>
    <row r="775" spans="1:23" ht="15" customHeight="1">
      <c r="D775" s="47" t="s">
        <v>2079</v>
      </c>
      <c r="G775" s="26"/>
      <c r="H775" s="26"/>
      <c r="I775" s="26"/>
      <c r="J775" s="26"/>
      <c r="K775" s="26"/>
      <c r="L775" s="26"/>
      <c r="M775" s="26"/>
      <c r="N775" s="26"/>
      <c r="P775" s="202">
        <v>759</v>
      </c>
      <c r="Q775" s="210">
        <v>10</v>
      </c>
      <c r="R775" s="205" t="s">
        <v>642</v>
      </c>
      <c r="S775" s="206" t="s">
        <v>643</v>
      </c>
      <c r="T775" s="211">
        <v>0</v>
      </c>
      <c r="U775" s="211">
        <v>0</v>
      </c>
      <c r="V775" s="213">
        <v>0</v>
      </c>
      <c r="W775" s="213">
        <v>0</v>
      </c>
    </row>
    <row r="776" spans="1:23" ht="15" customHeight="1">
      <c r="G776" s="26"/>
      <c r="H776" s="26"/>
      <c r="I776" s="26"/>
      <c r="J776" s="26"/>
      <c r="K776" s="26"/>
      <c r="L776" s="26"/>
      <c r="M776" s="26"/>
      <c r="N776" s="26"/>
      <c r="P776" s="202">
        <v>760</v>
      </c>
      <c r="Q776" s="210">
        <v>10</v>
      </c>
      <c r="R776" s="205" t="s">
        <v>644</v>
      </c>
      <c r="S776" s="206" t="s">
        <v>206</v>
      </c>
      <c r="T776" s="211">
        <v>1800</v>
      </c>
      <c r="U776" s="211">
        <v>141.43</v>
      </c>
      <c r="V776" s="213">
        <v>1047.31</v>
      </c>
      <c r="W776" s="213">
        <v>58.18</v>
      </c>
    </row>
    <row r="777" spans="1:23" ht="15" customHeight="1">
      <c r="C777" s="3">
        <v>10</v>
      </c>
      <c r="D777" s="15" t="s">
        <v>594</v>
      </c>
      <c r="E777" s="312" t="s">
        <v>433</v>
      </c>
      <c r="G777" s="26">
        <v>0</v>
      </c>
      <c r="H777" s="26">
        <v>0</v>
      </c>
      <c r="I777" s="26">
        <v>319</v>
      </c>
      <c r="J777" s="26">
        <v>135</v>
      </c>
      <c r="K777" s="26">
        <v>300</v>
      </c>
      <c r="L777" s="26">
        <v>0</v>
      </c>
      <c r="M777" s="26">
        <v>0</v>
      </c>
      <c r="N777" s="26">
        <v>0</v>
      </c>
      <c r="O777" s="285"/>
      <c r="P777" s="202">
        <v>761</v>
      </c>
      <c r="Q777" s="210">
        <v>10</v>
      </c>
      <c r="R777" s="205" t="s">
        <v>645</v>
      </c>
      <c r="S777" s="206" t="s">
        <v>208</v>
      </c>
      <c r="T777" s="211">
        <v>1500</v>
      </c>
      <c r="U777" s="211">
        <v>0</v>
      </c>
      <c r="V777" s="213">
        <v>454.46</v>
      </c>
      <c r="W777" s="213">
        <v>30.3</v>
      </c>
    </row>
    <row r="778" spans="1:23" ht="15" customHeight="1">
      <c r="C778" s="3">
        <v>10</v>
      </c>
      <c r="D778" s="15" t="s">
        <v>595</v>
      </c>
      <c r="E778" s="312" t="s">
        <v>435</v>
      </c>
      <c r="G778" s="26">
        <v>0</v>
      </c>
      <c r="H778" s="26">
        <v>0</v>
      </c>
      <c r="I778" s="26">
        <v>0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85"/>
      <c r="P778" s="202">
        <v>762</v>
      </c>
      <c r="Q778" s="210">
        <v>10</v>
      </c>
      <c r="R778" s="205" t="s">
        <v>646</v>
      </c>
      <c r="S778" s="206" t="s">
        <v>912</v>
      </c>
      <c r="T778" s="211">
        <v>0</v>
      </c>
      <c r="U778" s="211">
        <v>0</v>
      </c>
      <c r="V778" s="213">
        <v>0</v>
      </c>
      <c r="W778" s="213">
        <v>0</v>
      </c>
    </row>
    <row r="779" spans="1:23" ht="15" customHeight="1">
      <c r="C779" s="3">
        <v>10</v>
      </c>
      <c r="D779" s="15" t="s">
        <v>596</v>
      </c>
      <c r="E779" s="312" t="s">
        <v>232</v>
      </c>
      <c r="G779" s="26">
        <v>1044</v>
      </c>
      <c r="H779" s="26">
        <v>329</v>
      </c>
      <c r="I779" s="26">
        <v>610</v>
      </c>
      <c r="J779" s="26">
        <v>6172</v>
      </c>
      <c r="K779" s="26">
        <v>4000</v>
      </c>
      <c r="L779" s="26">
        <v>1735</v>
      </c>
      <c r="M779" s="26">
        <v>5300</v>
      </c>
      <c r="N779" s="26">
        <v>5500</v>
      </c>
      <c r="O779" s="285" t="s">
        <v>2663</v>
      </c>
      <c r="P779" s="202">
        <v>763</v>
      </c>
      <c r="Q779" s="210">
        <v>10</v>
      </c>
      <c r="R779" s="205" t="s">
        <v>647</v>
      </c>
      <c r="S779" s="206" t="s">
        <v>210</v>
      </c>
      <c r="T779" s="211">
        <v>150</v>
      </c>
      <c r="U779" s="211">
        <v>0</v>
      </c>
      <c r="V779" s="213">
        <v>20.79</v>
      </c>
      <c r="W779" s="213">
        <v>13.86</v>
      </c>
    </row>
    <row r="780" spans="1:23" ht="15" customHeight="1">
      <c r="C780" s="3">
        <v>10</v>
      </c>
      <c r="D780" s="15" t="s">
        <v>597</v>
      </c>
      <c r="E780" s="312" t="s">
        <v>329</v>
      </c>
      <c r="G780" s="26">
        <v>0</v>
      </c>
      <c r="H780" s="26">
        <v>0</v>
      </c>
      <c r="I780" s="26">
        <v>2129</v>
      </c>
      <c r="J780" s="26">
        <v>0</v>
      </c>
      <c r="K780" s="26">
        <v>0</v>
      </c>
      <c r="L780" s="26">
        <v>0</v>
      </c>
      <c r="M780" s="26">
        <v>0</v>
      </c>
      <c r="N780" s="26">
        <v>0</v>
      </c>
      <c r="O780" s="285"/>
      <c r="P780" s="202">
        <v>764</v>
      </c>
      <c r="Q780" s="210">
        <v>10</v>
      </c>
      <c r="R780" s="205" t="s">
        <v>648</v>
      </c>
      <c r="S780" s="206" t="s">
        <v>134</v>
      </c>
      <c r="T780" s="211">
        <v>700</v>
      </c>
      <c r="U780" s="211">
        <v>0</v>
      </c>
      <c r="V780" s="213">
        <v>-2.99</v>
      </c>
      <c r="W780" s="213">
        <v>-0.43</v>
      </c>
    </row>
    <row r="781" spans="1:23" ht="15" customHeight="1">
      <c r="C781" s="3">
        <v>10</v>
      </c>
      <c r="D781" s="15" t="s">
        <v>598</v>
      </c>
      <c r="E781" s="312" t="s">
        <v>599</v>
      </c>
      <c r="G781" s="26">
        <v>0</v>
      </c>
      <c r="H781" s="26">
        <v>79111</v>
      </c>
      <c r="I781" s="26">
        <v>21302</v>
      </c>
      <c r="J781" s="26">
        <v>1010</v>
      </c>
      <c r="K781" s="26">
        <v>7000</v>
      </c>
      <c r="L781" s="26">
        <v>5851</v>
      </c>
      <c r="M781" s="26">
        <v>7000</v>
      </c>
      <c r="N781" s="26">
        <v>7000</v>
      </c>
      <c r="O781" s="285" t="s">
        <v>2848</v>
      </c>
      <c r="P781" s="202">
        <v>765</v>
      </c>
      <c r="Q781" s="210">
        <v>10</v>
      </c>
      <c r="R781" s="205" t="s">
        <v>649</v>
      </c>
      <c r="S781" s="206" t="s">
        <v>213</v>
      </c>
      <c r="T781" s="211">
        <v>500</v>
      </c>
      <c r="U781" s="211">
        <v>0</v>
      </c>
      <c r="V781" s="213">
        <v>88</v>
      </c>
      <c r="W781" s="213">
        <v>17.600000000000001</v>
      </c>
    </row>
    <row r="782" spans="1:23" ht="15" customHeight="1">
      <c r="C782" s="3">
        <v>10</v>
      </c>
      <c r="D782" s="15" t="s">
        <v>600</v>
      </c>
      <c r="E782" s="312" t="s">
        <v>165</v>
      </c>
      <c r="G782" s="26">
        <v>484</v>
      </c>
      <c r="H782" s="26">
        <v>179</v>
      </c>
      <c r="I782" s="26">
        <v>509</v>
      </c>
      <c r="J782" s="26">
        <v>576</v>
      </c>
      <c r="K782" s="26">
        <v>750</v>
      </c>
      <c r="L782" s="26">
        <v>0</v>
      </c>
      <c r="M782" s="26">
        <v>0</v>
      </c>
      <c r="N782" s="26">
        <v>0</v>
      </c>
      <c r="O782" s="285"/>
      <c r="P782" s="202">
        <v>766</v>
      </c>
      <c r="Q782" s="210">
        <v>10</v>
      </c>
      <c r="R782" s="205" t="s">
        <v>2623</v>
      </c>
      <c r="S782" s="206"/>
      <c r="T782" s="211"/>
      <c r="U782" s="211"/>
      <c r="V782" s="213"/>
      <c r="W782" s="213"/>
    </row>
    <row r="783" spans="1:23" ht="15" customHeight="1">
      <c r="C783" s="3">
        <v>10</v>
      </c>
      <c r="D783" s="15" t="s">
        <v>601</v>
      </c>
      <c r="E783" s="312" t="s">
        <v>167</v>
      </c>
      <c r="G783" s="26">
        <v>13</v>
      </c>
      <c r="H783" s="26">
        <v>0</v>
      </c>
      <c r="I783" s="26">
        <v>118</v>
      </c>
      <c r="J783" s="26">
        <v>0</v>
      </c>
      <c r="K783" s="26">
        <v>0</v>
      </c>
      <c r="L783" s="26">
        <v>0</v>
      </c>
      <c r="M783" s="26">
        <v>0</v>
      </c>
      <c r="N783" s="26">
        <v>0</v>
      </c>
      <c r="O783" s="285"/>
      <c r="P783" s="202">
        <v>767</v>
      </c>
      <c r="Q783" s="210">
        <v>10</v>
      </c>
      <c r="R783" s="205" t="s">
        <v>104</v>
      </c>
      <c r="S783" s="206"/>
      <c r="T783" s="211">
        <v>47300</v>
      </c>
      <c r="U783" s="211">
        <v>3085.3</v>
      </c>
      <c r="V783" s="213">
        <v>34676.36</v>
      </c>
      <c r="W783" s="213">
        <v>0</v>
      </c>
    </row>
    <row r="784" spans="1:23" ht="15" customHeight="1">
      <c r="C784" s="3">
        <v>10</v>
      </c>
      <c r="D784" s="15" t="s">
        <v>602</v>
      </c>
      <c r="E784" s="312" t="s">
        <v>169</v>
      </c>
      <c r="G784" s="26">
        <v>34699</v>
      </c>
      <c r="H784" s="26">
        <v>19687</v>
      </c>
      <c r="I784" s="26">
        <v>23151</v>
      </c>
      <c r="J784" s="26">
        <v>22872</v>
      </c>
      <c r="K784" s="26">
        <v>30000</v>
      </c>
      <c r="L784" s="26">
        <v>17517</v>
      </c>
      <c r="M784" s="26">
        <v>30000</v>
      </c>
      <c r="N784" s="26">
        <v>32000</v>
      </c>
      <c r="O784" s="285" t="s">
        <v>2664</v>
      </c>
      <c r="P784" s="202">
        <v>768</v>
      </c>
      <c r="Q784" s="210">
        <v>10</v>
      </c>
      <c r="R784" s="205" t="s">
        <v>135</v>
      </c>
      <c r="S784" s="206"/>
      <c r="T784" s="211"/>
      <c r="U784" s="211"/>
      <c r="V784" s="213"/>
      <c r="W784" s="213"/>
    </row>
    <row r="785" spans="1:23" ht="15" customHeight="1">
      <c r="C785" s="3">
        <v>10</v>
      </c>
      <c r="D785" s="15" t="s">
        <v>603</v>
      </c>
      <c r="E785" s="312" t="s">
        <v>171</v>
      </c>
      <c r="G785" s="26">
        <v>3779</v>
      </c>
      <c r="H785" s="26">
        <v>13825</v>
      </c>
      <c r="I785" s="26">
        <v>10154</v>
      </c>
      <c r="J785" s="26">
        <v>9558</v>
      </c>
      <c r="K785" s="26">
        <v>15000</v>
      </c>
      <c r="L785" s="26">
        <v>8959</v>
      </c>
      <c r="M785" s="26">
        <v>15000</v>
      </c>
      <c r="N785" s="26">
        <v>15000</v>
      </c>
      <c r="O785" s="285"/>
      <c r="P785" s="202">
        <v>769</v>
      </c>
      <c r="Q785" s="210">
        <v>10</v>
      </c>
      <c r="R785" s="205" t="s">
        <v>2626</v>
      </c>
      <c r="S785" s="206"/>
      <c r="T785" s="211"/>
      <c r="U785" s="211"/>
      <c r="V785" s="213"/>
      <c r="W785" s="213"/>
    </row>
    <row r="786" spans="1:23" ht="15" customHeight="1">
      <c r="C786" s="3">
        <v>10</v>
      </c>
      <c r="D786" s="15" t="s">
        <v>604</v>
      </c>
      <c r="E786" s="312" t="s">
        <v>173</v>
      </c>
      <c r="G786" s="26">
        <v>0</v>
      </c>
      <c r="H786" s="26">
        <v>0</v>
      </c>
      <c r="I786" s="26">
        <v>0</v>
      </c>
      <c r="J786" s="26">
        <v>0</v>
      </c>
      <c r="K786" s="26">
        <v>0</v>
      </c>
      <c r="L786" s="26">
        <v>0</v>
      </c>
      <c r="M786" s="26">
        <v>0</v>
      </c>
      <c r="N786" s="26">
        <v>0</v>
      </c>
      <c r="O786" s="285"/>
      <c r="P786" s="202">
        <v>770</v>
      </c>
      <c r="Q786" s="210">
        <v>10</v>
      </c>
      <c r="R786" s="205" t="s">
        <v>650</v>
      </c>
      <c r="S786" s="206" t="s">
        <v>137</v>
      </c>
      <c r="T786" s="211">
        <v>6500</v>
      </c>
      <c r="U786" s="211">
        <v>255.68</v>
      </c>
      <c r="V786" s="213">
        <v>3310.54</v>
      </c>
      <c r="W786" s="213">
        <v>50.93</v>
      </c>
    </row>
    <row r="787" spans="1:23" ht="15" customHeight="1">
      <c r="C787" s="3">
        <v>10</v>
      </c>
      <c r="D787" s="15" t="s">
        <v>605</v>
      </c>
      <c r="E787" s="312" t="s">
        <v>175</v>
      </c>
      <c r="G787" s="26">
        <v>13</v>
      </c>
      <c r="H787" s="26">
        <v>0</v>
      </c>
      <c r="I787" s="26">
        <v>0</v>
      </c>
      <c r="J787" s="26">
        <v>0</v>
      </c>
      <c r="K787" s="26">
        <v>0</v>
      </c>
      <c r="L787" s="26">
        <v>0</v>
      </c>
      <c r="M787" s="26">
        <v>0</v>
      </c>
      <c r="N787" s="26">
        <v>0</v>
      </c>
      <c r="O787" s="285"/>
      <c r="P787" s="202">
        <v>771</v>
      </c>
      <c r="Q787" s="210">
        <v>10</v>
      </c>
      <c r="R787" s="205" t="s">
        <v>651</v>
      </c>
      <c r="S787" s="206" t="s">
        <v>216</v>
      </c>
      <c r="T787" s="211">
        <v>4500</v>
      </c>
      <c r="U787" s="211">
        <v>1196</v>
      </c>
      <c r="V787" s="213">
        <v>2982</v>
      </c>
      <c r="W787" s="213">
        <v>66.27</v>
      </c>
    </row>
    <row r="788" spans="1:23" ht="15" customHeight="1">
      <c r="C788" s="3">
        <v>10</v>
      </c>
      <c r="D788" s="15" t="s">
        <v>606</v>
      </c>
      <c r="E788" s="312" t="s">
        <v>244</v>
      </c>
      <c r="G788" s="26">
        <v>252</v>
      </c>
      <c r="H788" s="26">
        <v>0</v>
      </c>
      <c r="I788" s="26">
        <v>0</v>
      </c>
      <c r="J788" s="26">
        <v>654</v>
      </c>
      <c r="K788" s="26">
        <v>1000</v>
      </c>
      <c r="L788" s="26">
        <v>576</v>
      </c>
      <c r="M788" s="26">
        <v>6000</v>
      </c>
      <c r="N788" s="26">
        <v>2500</v>
      </c>
      <c r="O788" s="285" t="s">
        <v>2928</v>
      </c>
      <c r="P788" s="202">
        <v>772</v>
      </c>
      <c r="Q788" s="210">
        <v>10</v>
      </c>
      <c r="R788" s="205" t="s">
        <v>652</v>
      </c>
      <c r="S788" s="206" t="s">
        <v>139</v>
      </c>
      <c r="T788" s="211">
        <v>16500</v>
      </c>
      <c r="U788" s="211">
        <v>108</v>
      </c>
      <c r="V788" s="213">
        <v>11367.12</v>
      </c>
      <c r="W788" s="213">
        <v>68.89</v>
      </c>
    </row>
    <row r="789" spans="1:23" ht="15" customHeight="1">
      <c r="G789" s="26"/>
      <c r="H789" s="26"/>
      <c r="I789" s="26"/>
      <c r="J789" s="26"/>
      <c r="K789" s="26"/>
      <c r="L789" s="26"/>
      <c r="M789" s="26"/>
      <c r="N789" s="26"/>
      <c r="P789" s="202">
        <v>773</v>
      </c>
      <c r="Q789" s="210">
        <v>10</v>
      </c>
      <c r="R789" s="205" t="s">
        <v>653</v>
      </c>
      <c r="S789" s="206" t="s">
        <v>654</v>
      </c>
      <c r="T789" s="211">
        <v>0</v>
      </c>
      <c r="U789" s="211">
        <v>0</v>
      </c>
      <c r="V789" s="213">
        <v>0</v>
      </c>
      <c r="W789" s="213">
        <v>0</v>
      </c>
    </row>
    <row r="790" spans="1:23" s="23" customFormat="1" ht="15" customHeight="1">
      <c r="A790" s="2" t="s">
        <v>163</v>
      </c>
      <c r="B790" s="2" t="s">
        <v>2317</v>
      </c>
      <c r="C790" s="3"/>
      <c r="D790" s="323" t="s">
        <v>2080</v>
      </c>
      <c r="E790" s="323"/>
      <c r="F790" s="324"/>
      <c r="G790" s="325">
        <f>SUM(G775:G789)</f>
        <v>40284</v>
      </c>
      <c r="H790" s="325">
        <f t="shared" ref="H790:N790" si="73">SUM(H775:H789)</f>
        <v>113131</v>
      </c>
      <c r="I790" s="325">
        <f t="shared" si="73"/>
        <v>58292</v>
      </c>
      <c r="J790" s="325">
        <f t="shared" si="73"/>
        <v>40977</v>
      </c>
      <c r="K790" s="325">
        <f t="shared" si="73"/>
        <v>58050</v>
      </c>
      <c r="L790" s="325">
        <f t="shared" si="73"/>
        <v>34638</v>
      </c>
      <c r="M790" s="325">
        <f t="shared" si="73"/>
        <v>63300</v>
      </c>
      <c r="N790" s="325">
        <f t="shared" si="73"/>
        <v>62000</v>
      </c>
      <c r="O790" s="291"/>
      <c r="P790" s="202">
        <v>774</v>
      </c>
      <c r="Q790" s="210">
        <v>10</v>
      </c>
      <c r="R790" s="205" t="s">
        <v>655</v>
      </c>
      <c r="S790" s="206" t="s">
        <v>141</v>
      </c>
      <c r="T790" s="211">
        <v>0</v>
      </c>
      <c r="U790" s="211">
        <v>0</v>
      </c>
      <c r="V790" s="213">
        <v>0</v>
      </c>
      <c r="W790" s="213">
        <v>0</v>
      </c>
    </row>
    <row r="791" spans="1:23" s="46" customFormat="1" ht="15" customHeight="1">
      <c r="A791" s="2"/>
      <c r="B791" s="2"/>
      <c r="C791" s="3"/>
      <c r="D791" s="47"/>
      <c r="E791" s="47"/>
      <c r="F791" s="191"/>
      <c r="G791" s="48"/>
      <c r="H791" s="48"/>
      <c r="I791" s="48"/>
      <c r="J791" s="48"/>
      <c r="K791" s="48"/>
      <c r="L791" s="48"/>
      <c r="M791" s="48"/>
      <c r="N791" s="48"/>
      <c r="O791" s="289"/>
      <c r="P791" s="202">
        <v>775</v>
      </c>
      <c r="Q791" s="210">
        <v>10</v>
      </c>
      <c r="R791" s="205" t="s">
        <v>656</v>
      </c>
      <c r="S791" s="206" t="s">
        <v>143</v>
      </c>
      <c r="T791" s="211">
        <v>0</v>
      </c>
      <c r="U791" s="211">
        <v>0</v>
      </c>
      <c r="V791" s="213">
        <v>0</v>
      </c>
      <c r="W791" s="213">
        <v>0</v>
      </c>
    </row>
    <row r="792" spans="1:23" ht="15" customHeight="1">
      <c r="D792" s="47" t="s">
        <v>2081</v>
      </c>
      <c r="G792" s="26"/>
      <c r="H792" s="26"/>
      <c r="I792" s="26"/>
      <c r="J792" s="26"/>
      <c r="K792" s="26"/>
      <c r="L792" s="26"/>
      <c r="M792" s="26"/>
      <c r="N792" s="26"/>
      <c r="P792" s="202">
        <v>776</v>
      </c>
      <c r="Q792" s="210">
        <v>10</v>
      </c>
      <c r="R792" s="205" t="s">
        <v>657</v>
      </c>
      <c r="S792" s="206" t="s">
        <v>145</v>
      </c>
      <c r="T792" s="211">
        <v>12500</v>
      </c>
      <c r="U792" s="211">
        <v>614.67999999999995</v>
      </c>
      <c r="V792" s="213">
        <v>5429.57</v>
      </c>
      <c r="W792" s="213">
        <v>43.44</v>
      </c>
    </row>
    <row r="793" spans="1:23" ht="15" customHeight="1">
      <c r="G793" s="26"/>
      <c r="H793" s="26"/>
      <c r="I793" s="26"/>
      <c r="J793" s="26"/>
      <c r="K793" s="26"/>
      <c r="L793" s="26"/>
      <c r="M793" s="26"/>
      <c r="N793" s="26"/>
      <c r="P793" s="202">
        <v>777</v>
      </c>
      <c r="Q793" s="210">
        <v>10</v>
      </c>
      <c r="R793" s="205" t="s">
        <v>658</v>
      </c>
      <c r="S793" s="206" t="s">
        <v>659</v>
      </c>
      <c r="T793" s="211">
        <v>0</v>
      </c>
      <c r="U793" s="211">
        <v>0</v>
      </c>
      <c r="V793" s="213">
        <v>0</v>
      </c>
      <c r="W793" s="213">
        <v>0</v>
      </c>
    </row>
    <row r="794" spans="1:23" ht="15" customHeight="1">
      <c r="C794" s="3">
        <v>10</v>
      </c>
      <c r="D794" s="15" t="s">
        <v>607</v>
      </c>
      <c r="E794" s="312" t="s">
        <v>329</v>
      </c>
      <c r="G794" s="26">
        <v>0</v>
      </c>
      <c r="H794" s="26">
        <v>0</v>
      </c>
      <c r="I794" s="26">
        <v>12075</v>
      </c>
      <c r="J794" s="26">
        <v>7990</v>
      </c>
      <c r="K794" s="26">
        <v>8590</v>
      </c>
      <c r="L794" s="26">
        <v>0</v>
      </c>
      <c r="M794" s="26">
        <v>8590</v>
      </c>
      <c r="N794" s="26">
        <v>8590</v>
      </c>
      <c r="O794" s="285" t="s">
        <v>2665</v>
      </c>
      <c r="P794" s="202">
        <v>778</v>
      </c>
      <c r="Q794" s="210">
        <v>10</v>
      </c>
      <c r="R794" s="205" t="s">
        <v>660</v>
      </c>
      <c r="S794" s="206" t="s">
        <v>147</v>
      </c>
      <c r="T794" s="211">
        <v>200</v>
      </c>
      <c r="U794" s="211">
        <v>0</v>
      </c>
      <c r="V794" s="213">
        <v>109.21</v>
      </c>
      <c r="W794" s="213">
        <v>54.61</v>
      </c>
    </row>
    <row r="795" spans="1:23" ht="15" customHeight="1">
      <c r="C795" s="3">
        <v>10</v>
      </c>
      <c r="D795" s="15" t="s">
        <v>608</v>
      </c>
      <c r="E795" s="312" t="s">
        <v>165</v>
      </c>
      <c r="G795" s="26">
        <v>0</v>
      </c>
      <c r="H795" s="26">
        <v>0</v>
      </c>
      <c r="I795" s="26">
        <v>0</v>
      </c>
      <c r="J795" s="26">
        <v>0</v>
      </c>
      <c r="K795" s="26">
        <v>0</v>
      </c>
      <c r="L795" s="26">
        <v>0</v>
      </c>
      <c r="M795" s="26">
        <v>0</v>
      </c>
      <c r="N795" s="26">
        <v>0</v>
      </c>
      <c r="O795" s="285"/>
      <c r="P795" s="202">
        <v>779</v>
      </c>
      <c r="Q795" s="210">
        <v>10</v>
      </c>
      <c r="R795" s="205" t="s">
        <v>661</v>
      </c>
      <c r="S795" s="206" t="s">
        <v>149</v>
      </c>
      <c r="T795" s="211">
        <v>300</v>
      </c>
      <c r="U795" s="211">
        <v>19.12</v>
      </c>
      <c r="V795" s="213">
        <v>19.12</v>
      </c>
      <c r="W795" s="213">
        <v>6.37</v>
      </c>
    </row>
    <row r="796" spans="1:23" ht="15" customHeight="1">
      <c r="C796" s="3">
        <v>10</v>
      </c>
      <c r="D796" s="15" t="s">
        <v>609</v>
      </c>
      <c r="E796" s="312" t="s">
        <v>167</v>
      </c>
      <c r="G796" s="26">
        <v>0</v>
      </c>
      <c r="H796" s="26">
        <v>0</v>
      </c>
      <c r="I796" s="26">
        <v>0</v>
      </c>
      <c r="J796" s="26">
        <v>0</v>
      </c>
      <c r="K796" s="26">
        <v>0</v>
      </c>
      <c r="L796" s="26">
        <v>0</v>
      </c>
      <c r="M796" s="26">
        <v>0</v>
      </c>
      <c r="N796" s="26">
        <v>0</v>
      </c>
      <c r="O796" s="285"/>
      <c r="P796" s="202">
        <v>780</v>
      </c>
      <c r="Q796" s="210">
        <v>10</v>
      </c>
      <c r="R796" s="205" t="s">
        <v>662</v>
      </c>
      <c r="S796" s="206" t="s">
        <v>151</v>
      </c>
      <c r="T796" s="211">
        <v>3500</v>
      </c>
      <c r="U796" s="211">
        <v>170</v>
      </c>
      <c r="V796" s="213">
        <v>3879</v>
      </c>
      <c r="W796" s="213">
        <v>110.83</v>
      </c>
    </row>
    <row r="797" spans="1:23" ht="15" customHeight="1">
      <c r="C797" s="3">
        <v>10</v>
      </c>
      <c r="D797" s="15" t="s">
        <v>610</v>
      </c>
      <c r="E797" s="312" t="s">
        <v>247</v>
      </c>
      <c r="G797" s="26">
        <v>6271</v>
      </c>
      <c r="H797" s="26">
        <v>10280</v>
      </c>
      <c r="I797" s="26">
        <v>2433</v>
      </c>
      <c r="J797" s="26">
        <v>19750</v>
      </c>
      <c r="K797" s="26">
        <v>17000</v>
      </c>
      <c r="L797" s="26">
        <v>0</v>
      </c>
      <c r="M797" s="26">
        <v>17000</v>
      </c>
      <c r="N797" s="26">
        <v>15000</v>
      </c>
      <c r="O797" s="285"/>
      <c r="P797" s="202">
        <v>781</v>
      </c>
      <c r="Q797" s="210">
        <v>10</v>
      </c>
      <c r="R797" s="205" t="s">
        <v>663</v>
      </c>
      <c r="S797" s="206" t="s">
        <v>153</v>
      </c>
      <c r="T797" s="211">
        <v>11000</v>
      </c>
      <c r="U797" s="211">
        <v>1228.27</v>
      </c>
      <c r="V797" s="213">
        <v>4889.6499999999996</v>
      </c>
      <c r="W797" s="213">
        <v>44.45</v>
      </c>
    </row>
    <row r="798" spans="1:23" ht="15" customHeight="1">
      <c r="C798" s="3">
        <v>10</v>
      </c>
      <c r="D798" s="15" t="s">
        <v>611</v>
      </c>
      <c r="E798" s="312" t="s">
        <v>461</v>
      </c>
      <c r="G798" s="26">
        <v>0</v>
      </c>
      <c r="H798" s="26">
        <v>-49585</v>
      </c>
      <c r="I798" s="26">
        <v>12477</v>
      </c>
      <c r="J798" s="26">
        <v>-80656</v>
      </c>
      <c r="K798" s="26">
        <v>-40000</v>
      </c>
      <c r="L798" s="26">
        <v>0</v>
      </c>
      <c r="M798" s="26">
        <v>-40000</v>
      </c>
      <c r="N798" s="26">
        <v>0</v>
      </c>
      <c r="O798" s="285"/>
      <c r="P798" s="202">
        <v>782</v>
      </c>
      <c r="Q798" s="210">
        <v>10</v>
      </c>
      <c r="R798" s="205" t="s">
        <v>664</v>
      </c>
      <c r="S798" s="206" t="s">
        <v>155</v>
      </c>
      <c r="T798" s="211">
        <v>0</v>
      </c>
      <c r="U798" s="211">
        <v>-3334.12</v>
      </c>
      <c r="V798" s="213">
        <v>-3951.84</v>
      </c>
      <c r="W798" s="213">
        <v>0</v>
      </c>
    </row>
    <row r="799" spans="1:23" ht="15" customHeight="1">
      <c r="C799" s="3">
        <v>10</v>
      </c>
      <c r="D799" s="15" t="s">
        <v>612</v>
      </c>
      <c r="E799" s="312" t="s">
        <v>382</v>
      </c>
      <c r="G799" s="26">
        <v>22784</v>
      </c>
      <c r="H799" s="26">
        <v>2376</v>
      </c>
      <c r="I799" s="26">
        <v>101108</v>
      </c>
      <c r="J799" s="26">
        <v>93141</v>
      </c>
      <c r="K799" s="26">
        <v>50000</v>
      </c>
      <c r="L799" s="26">
        <v>19844</v>
      </c>
      <c r="M799" s="26">
        <v>50000</v>
      </c>
      <c r="N799" s="26">
        <v>0</v>
      </c>
      <c r="O799" s="285" t="s">
        <v>2929</v>
      </c>
      <c r="P799" s="202">
        <v>783</v>
      </c>
      <c r="Q799" s="210">
        <v>10</v>
      </c>
      <c r="R799" s="205" t="s">
        <v>665</v>
      </c>
      <c r="S799" s="206" t="s">
        <v>666</v>
      </c>
      <c r="T799" s="211">
        <v>0</v>
      </c>
      <c r="U799" s="211">
        <v>0</v>
      </c>
      <c r="V799" s="213">
        <v>23.2</v>
      </c>
      <c r="W799" s="213">
        <v>0</v>
      </c>
    </row>
    <row r="800" spans="1:23" ht="15" customHeight="1">
      <c r="C800" s="3">
        <v>10</v>
      </c>
      <c r="D800" s="15" t="s">
        <v>613</v>
      </c>
      <c r="E800" s="312" t="s">
        <v>173</v>
      </c>
      <c r="G800" s="26">
        <v>0</v>
      </c>
      <c r="H800" s="26">
        <v>0</v>
      </c>
      <c r="I800" s="26">
        <v>0</v>
      </c>
      <c r="J800" s="26">
        <v>0</v>
      </c>
      <c r="K800" s="26">
        <v>0</v>
      </c>
      <c r="L800" s="26">
        <v>0</v>
      </c>
      <c r="M800" s="26">
        <v>0</v>
      </c>
      <c r="N800" s="26">
        <v>0</v>
      </c>
      <c r="O800" s="285"/>
      <c r="P800" s="202">
        <v>784</v>
      </c>
      <c r="Q800" s="210">
        <v>10</v>
      </c>
      <c r="R800" s="205" t="s">
        <v>667</v>
      </c>
      <c r="S800" s="206" t="s">
        <v>668</v>
      </c>
      <c r="T800" s="211">
        <v>0</v>
      </c>
      <c r="U800" s="211">
        <v>0</v>
      </c>
      <c r="V800" s="213">
        <v>0</v>
      </c>
      <c r="W800" s="213">
        <v>0</v>
      </c>
    </row>
    <row r="801" spans="1:23" ht="15" customHeight="1">
      <c r="C801" s="3">
        <v>10</v>
      </c>
      <c r="D801" s="15" t="s">
        <v>614</v>
      </c>
      <c r="E801" s="312" t="s">
        <v>244</v>
      </c>
      <c r="G801" s="26">
        <v>0</v>
      </c>
      <c r="H801" s="26">
        <v>0</v>
      </c>
      <c r="I801" s="26">
        <v>0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85"/>
      <c r="P801" s="202">
        <v>785</v>
      </c>
      <c r="Q801" s="210">
        <v>10</v>
      </c>
      <c r="R801" s="205" t="s">
        <v>669</v>
      </c>
      <c r="S801" s="206" t="s">
        <v>157</v>
      </c>
      <c r="T801" s="211">
        <v>500</v>
      </c>
      <c r="U801" s="211">
        <v>0</v>
      </c>
      <c r="V801" s="213">
        <v>0</v>
      </c>
      <c r="W801" s="213">
        <v>0</v>
      </c>
    </row>
    <row r="802" spans="1:23" ht="15" customHeight="1">
      <c r="G802" s="26"/>
      <c r="H802" s="26"/>
      <c r="I802" s="26"/>
      <c r="J802" s="26"/>
      <c r="K802" s="26"/>
      <c r="L802" s="26"/>
      <c r="M802" s="26"/>
      <c r="N802" s="26"/>
      <c r="P802" s="202">
        <v>786</v>
      </c>
      <c r="Q802" s="210">
        <v>10</v>
      </c>
      <c r="R802" s="205" t="s">
        <v>670</v>
      </c>
      <c r="S802" s="206" t="s">
        <v>159</v>
      </c>
      <c r="T802" s="211">
        <v>31083</v>
      </c>
      <c r="U802" s="211">
        <v>496.3</v>
      </c>
      <c r="V802" s="213">
        <v>3970.4</v>
      </c>
      <c r="W802" s="213">
        <v>12.77</v>
      </c>
    </row>
    <row r="803" spans="1:23" s="24" customFormat="1" ht="15" customHeight="1">
      <c r="A803" s="2" t="s">
        <v>245</v>
      </c>
      <c r="B803" s="2" t="s">
        <v>2317</v>
      </c>
      <c r="C803" s="3"/>
      <c r="D803" s="323" t="s">
        <v>2082</v>
      </c>
      <c r="E803" s="323"/>
      <c r="F803" s="324"/>
      <c r="G803" s="325">
        <f>SUM(G792:G802)</f>
        <v>29055</v>
      </c>
      <c r="H803" s="325">
        <f t="shared" ref="H803:N803" si="74">SUM(H792:H802)</f>
        <v>-36929</v>
      </c>
      <c r="I803" s="325">
        <f t="shared" si="74"/>
        <v>128093</v>
      </c>
      <c r="J803" s="325">
        <f t="shared" si="74"/>
        <v>40225</v>
      </c>
      <c r="K803" s="325">
        <f t="shared" si="74"/>
        <v>35590</v>
      </c>
      <c r="L803" s="325">
        <f t="shared" si="74"/>
        <v>19844</v>
      </c>
      <c r="M803" s="325">
        <f t="shared" si="74"/>
        <v>35590</v>
      </c>
      <c r="N803" s="325">
        <f t="shared" si="74"/>
        <v>23590</v>
      </c>
      <c r="O803" s="292"/>
      <c r="P803" s="202">
        <v>787</v>
      </c>
      <c r="Q803" s="210">
        <v>10</v>
      </c>
      <c r="R803" s="205" t="s">
        <v>671</v>
      </c>
      <c r="S803" s="206" t="s">
        <v>229</v>
      </c>
      <c r="T803" s="211">
        <v>19826</v>
      </c>
      <c r="U803" s="211">
        <v>110.64</v>
      </c>
      <c r="V803" s="213">
        <v>885.12</v>
      </c>
      <c r="W803" s="213">
        <v>4.46</v>
      </c>
    </row>
    <row r="804" spans="1:23" ht="15" customHeight="1">
      <c r="G804" s="26"/>
      <c r="H804" s="26"/>
      <c r="I804" s="26"/>
      <c r="J804" s="26"/>
      <c r="K804" s="26"/>
      <c r="L804" s="26"/>
      <c r="M804" s="26"/>
      <c r="N804" s="26"/>
      <c r="P804" s="202">
        <v>788</v>
      </c>
      <c r="Q804" s="210">
        <v>10</v>
      </c>
      <c r="R804" s="205" t="s">
        <v>672</v>
      </c>
      <c r="S804" s="206" t="s">
        <v>162</v>
      </c>
      <c r="T804" s="211">
        <v>100</v>
      </c>
      <c r="U804" s="211">
        <v>0</v>
      </c>
      <c r="V804" s="213">
        <v>0</v>
      </c>
      <c r="W804" s="213">
        <v>0</v>
      </c>
    </row>
    <row r="805" spans="1:23" s="43" customFormat="1" ht="15" customHeight="1" thickBot="1">
      <c r="A805" s="2"/>
      <c r="B805" s="2" t="s">
        <v>2317</v>
      </c>
      <c r="C805" s="3"/>
      <c r="D805" s="68" t="s">
        <v>1986</v>
      </c>
      <c r="E805" s="326"/>
      <c r="F805" s="327"/>
      <c r="G805" s="328">
        <f t="shared" ref="G805:N805" si="75">+G803+G790+G773+G749+G723</f>
        <v>1626548</v>
      </c>
      <c r="H805" s="328">
        <f t="shared" si="75"/>
        <v>1703626</v>
      </c>
      <c r="I805" s="328">
        <f t="shared" si="75"/>
        <v>1964425</v>
      </c>
      <c r="J805" s="328">
        <f t="shared" si="75"/>
        <v>1896514</v>
      </c>
      <c r="K805" s="328">
        <f t="shared" si="75"/>
        <v>1925049</v>
      </c>
      <c r="L805" s="328">
        <f t="shared" si="75"/>
        <v>1100218</v>
      </c>
      <c r="M805" s="328">
        <f t="shared" si="75"/>
        <v>1890201.65</v>
      </c>
      <c r="N805" s="328">
        <f t="shared" si="75"/>
        <v>1887987</v>
      </c>
      <c r="O805" s="288"/>
      <c r="P805" s="202">
        <v>789</v>
      </c>
      <c r="Q805" s="210">
        <v>10</v>
      </c>
      <c r="R805" s="205" t="s">
        <v>2623</v>
      </c>
      <c r="S805" s="206"/>
      <c r="T805" s="211"/>
      <c r="U805" s="211"/>
      <c r="V805" s="213"/>
      <c r="W805" s="213"/>
    </row>
    <row r="806" spans="1:23" s="45" customFormat="1" ht="15" customHeight="1" thickTop="1">
      <c r="A806" s="2"/>
      <c r="B806" s="2"/>
      <c r="C806" s="3"/>
      <c r="D806" s="47"/>
      <c r="E806" s="15"/>
      <c r="F806" s="105"/>
      <c r="G806" s="26"/>
      <c r="H806" s="26"/>
      <c r="I806" s="26"/>
      <c r="J806" s="26"/>
      <c r="K806" s="26"/>
      <c r="L806" s="26"/>
      <c r="M806" s="26"/>
      <c r="N806" s="26"/>
      <c r="O806" s="275"/>
      <c r="P806" s="202">
        <v>790</v>
      </c>
      <c r="Q806" s="210">
        <v>10</v>
      </c>
      <c r="R806" s="205" t="s">
        <v>135</v>
      </c>
      <c r="S806" s="206"/>
      <c r="T806" s="211">
        <v>106509</v>
      </c>
      <c r="U806" s="211">
        <v>864.57</v>
      </c>
      <c r="V806" s="213">
        <v>32913.089999999997</v>
      </c>
      <c r="W806" s="213">
        <v>0</v>
      </c>
    </row>
    <row r="807" spans="1:23" s="45" customFormat="1" ht="15" customHeight="1">
      <c r="A807" s="2"/>
      <c r="B807" s="2"/>
      <c r="C807" s="3"/>
      <c r="D807" s="47" t="s">
        <v>9</v>
      </c>
      <c r="E807" s="15"/>
      <c r="F807" s="105"/>
      <c r="G807" s="26"/>
      <c r="H807" s="26"/>
      <c r="I807" s="26"/>
      <c r="J807" s="26"/>
      <c r="K807" s="26"/>
      <c r="L807" s="26"/>
      <c r="M807" s="26"/>
      <c r="N807" s="26"/>
      <c r="O807" s="275"/>
      <c r="P807" s="202">
        <v>791</v>
      </c>
      <c r="Q807" s="210">
        <v>10</v>
      </c>
      <c r="R807" s="205" t="s">
        <v>163</v>
      </c>
      <c r="S807" s="206"/>
      <c r="T807" s="211"/>
      <c r="U807" s="211"/>
      <c r="V807" s="213"/>
      <c r="W807" s="213"/>
    </row>
    <row r="808" spans="1:23" s="45" customFormat="1" ht="15" customHeight="1">
      <c r="A808" s="2"/>
      <c r="B808" s="2"/>
      <c r="C808" s="3"/>
      <c r="D808" s="47"/>
      <c r="E808" s="15"/>
      <c r="F808" s="105"/>
      <c r="G808" s="26"/>
      <c r="H808" s="26"/>
      <c r="I808" s="26"/>
      <c r="J808" s="26"/>
      <c r="K808" s="26"/>
      <c r="L808" s="26"/>
      <c r="M808" s="26"/>
      <c r="N808" s="26"/>
      <c r="O808" s="275"/>
      <c r="P808" s="202">
        <v>792</v>
      </c>
      <c r="Q808" s="210">
        <v>10</v>
      </c>
      <c r="R808" s="205" t="s">
        <v>2627</v>
      </c>
      <c r="S808" s="206"/>
      <c r="T808" s="211"/>
      <c r="U808" s="211"/>
      <c r="V808" s="213"/>
      <c r="W808" s="213"/>
    </row>
    <row r="809" spans="1:23" s="5" customFormat="1" ht="15" customHeight="1">
      <c r="A809" s="2"/>
      <c r="B809" s="2"/>
      <c r="C809" s="3"/>
      <c r="D809" s="47" t="s">
        <v>2083</v>
      </c>
      <c r="E809" s="15"/>
      <c r="F809" s="105"/>
      <c r="G809" s="26"/>
      <c r="H809" s="26"/>
      <c r="I809" s="26"/>
      <c r="J809" s="26"/>
      <c r="K809" s="26"/>
      <c r="L809" s="26"/>
      <c r="M809" s="26"/>
      <c r="N809" s="26"/>
      <c r="O809" s="282"/>
      <c r="P809" s="202">
        <v>793</v>
      </c>
      <c r="Q809" s="210">
        <v>10</v>
      </c>
      <c r="R809" s="205" t="s">
        <v>673</v>
      </c>
      <c r="S809" s="206" t="s">
        <v>433</v>
      </c>
      <c r="T809" s="211">
        <v>0</v>
      </c>
      <c r="U809" s="211">
        <v>0</v>
      </c>
      <c r="V809" s="213">
        <v>0</v>
      </c>
      <c r="W809" s="213">
        <v>0</v>
      </c>
    </row>
    <row r="810" spans="1:23" ht="15" customHeight="1">
      <c r="G810" s="26"/>
      <c r="H810" s="26"/>
      <c r="I810" s="26"/>
      <c r="J810" s="26"/>
      <c r="K810" s="26"/>
      <c r="L810" s="26"/>
      <c r="M810" s="26"/>
      <c r="N810" s="26"/>
      <c r="P810" s="202">
        <v>794</v>
      </c>
      <c r="Q810" s="210">
        <v>10</v>
      </c>
      <c r="R810" s="205" t="s">
        <v>674</v>
      </c>
      <c r="S810" s="206" t="s">
        <v>435</v>
      </c>
      <c r="T810" s="211">
        <v>1000</v>
      </c>
      <c r="U810" s="211">
        <v>0</v>
      </c>
      <c r="V810" s="213">
        <v>1.79</v>
      </c>
      <c r="W810" s="213">
        <v>0.18</v>
      </c>
    </row>
    <row r="811" spans="1:23" ht="15" customHeight="1">
      <c r="C811" s="3">
        <v>10</v>
      </c>
      <c r="D811" s="15" t="s">
        <v>615</v>
      </c>
      <c r="E811" s="312" t="s">
        <v>79</v>
      </c>
      <c r="G811" s="26">
        <v>502401</v>
      </c>
      <c r="H811" s="26">
        <v>478853</v>
      </c>
      <c r="I811" s="26">
        <v>520764</v>
      </c>
      <c r="J811" s="26">
        <v>529417</v>
      </c>
      <c r="K811" s="26">
        <v>543018</v>
      </c>
      <c r="L811" s="26">
        <v>314467</v>
      </c>
      <c r="M811" s="26">
        <f>405435*1.33</f>
        <v>539228.55000000005</v>
      </c>
      <c r="N811" s="26">
        <v>559677</v>
      </c>
      <c r="O811" s="275" t="s">
        <v>3041</v>
      </c>
      <c r="P811" s="202">
        <v>795</v>
      </c>
      <c r="Q811" s="210">
        <v>10</v>
      </c>
      <c r="R811" s="205" t="s">
        <v>675</v>
      </c>
      <c r="S811" s="206" t="s">
        <v>232</v>
      </c>
      <c r="T811" s="211">
        <v>2000</v>
      </c>
      <c r="U811" s="211">
        <v>791.38</v>
      </c>
      <c r="V811" s="213">
        <v>6543.46</v>
      </c>
      <c r="W811" s="213">
        <v>327.17</v>
      </c>
    </row>
    <row r="812" spans="1:23" ht="15" customHeight="1">
      <c r="C812" s="3">
        <v>10</v>
      </c>
      <c r="D812" s="15" t="s">
        <v>616</v>
      </c>
      <c r="E812" s="312" t="s">
        <v>81</v>
      </c>
      <c r="G812" s="26">
        <v>98778</v>
      </c>
      <c r="H812" s="26">
        <v>95590</v>
      </c>
      <c r="I812" s="26">
        <v>100700</v>
      </c>
      <c r="J812" s="26">
        <v>100612</v>
      </c>
      <c r="K812" s="26">
        <v>106545</v>
      </c>
      <c r="L812" s="26">
        <v>60551</v>
      </c>
      <c r="M812" s="26">
        <f>78037*1.33</f>
        <v>103789.21</v>
      </c>
      <c r="N812" s="26">
        <v>106545</v>
      </c>
      <c r="P812" s="202">
        <v>796</v>
      </c>
      <c r="Q812" s="210">
        <v>10</v>
      </c>
      <c r="R812" s="205" t="s">
        <v>676</v>
      </c>
      <c r="S812" s="206" t="s">
        <v>329</v>
      </c>
      <c r="T812" s="211">
        <v>0</v>
      </c>
      <c r="U812" s="211">
        <v>0</v>
      </c>
      <c r="V812" s="213">
        <v>0</v>
      </c>
      <c r="W812" s="213">
        <v>0</v>
      </c>
    </row>
    <row r="813" spans="1:23" ht="15" customHeight="1">
      <c r="C813" s="3">
        <v>10</v>
      </c>
      <c r="D813" s="15" t="s">
        <v>617</v>
      </c>
      <c r="E813" s="312" t="s">
        <v>83</v>
      </c>
      <c r="G813" s="26">
        <v>0</v>
      </c>
      <c r="H813" s="26">
        <v>707</v>
      </c>
      <c r="I813" s="26">
        <v>58</v>
      </c>
      <c r="J813" s="26">
        <v>-65</v>
      </c>
      <c r="K813" s="26">
        <v>59</v>
      </c>
      <c r="L813" s="26">
        <v>0</v>
      </c>
      <c r="M813" s="26">
        <v>0</v>
      </c>
      <c r="N813" s="26">
        <v>0</v>
      </c>
      <c r="P813" s="202">
        <v>797</v>
      </c>
      <c r="Q813" s="210">
        <v>10</v>
      </c>
      <c r="R813" s="205" t="s">
        <v>677</v>
      </c>
      <c r="S813" s="206" t="s">
        <v>165</v>
      </c>
      <c r="T813" s="211">
        <v>1500</v>
      </c>
      <c r="U813" s="211">
        <v>0</v>
      </c>
      <c r="V813" s="213">
        <v>801.2</v>
      </c>
      <c r="W813" s="213">
        <v>53.41</v>
      </c>
    </row>
    <row r="814" spans="1:23" ht="15" customHeight="1">
      <c r="C814" s="3">
        <v>10</v>
      </c>
      <c r="D814" s="15" t="s">
        <v>618</v>
      </c>
      <c r="E814" s="312" t="s">
        <v>85</v>
      </c>
      <c r="G814" s="26">
        <v>1887</v>
      </c>
      <c r="H814" s="26">
        <v>223</v>
      </c>
      <c r="I814" s="26">
        <v>3364</v>
      </c>
      <c r="J814" s="26">
        <v>1332</v>
      </c>
      <c r="K814" s="26">
        <v>3366</v>
      </c>
      <c r="L814" s="26">
        <v>4468</v>
      </c>
      <c r="M814" s="26">
        <f>4468*1.33</f>
        <v>5942.4400000000005</v>
      </c>
      <c r="N814" s="26">
        <v>6000</v>
      </c>
      <c r="P814" s="202">
        <v>798</v>
      </c>
      <c r="Q814" s="210">
        <v>10</v>
      </c>
      <c r="R814" s="205" t="s">
        <v>678</v>
      </c>
      <c r="S814" s="206" t="s">
        <v>167</v>
      </c>
      <c r="T814" s="211">
        <v>1000</v>
      </c>
      <c r="U814" s="211">
        <v>0</v>
      </c>
      <c r="V814" s="213">
        <v>506.66</v>
      </c>
      <c r="W814" s="213">
        <v>50.67</v>
      </c>
    </row>
    <row r="815" spans="1:23" ht="15" customHeight="1">
      <c r="C815" s="3">
        <v>10</v>
      </c>
      <c r="D815" s="15" t="s">
        <v>619</v>
      </c>
      <c r="E815" s="312" t="s">
        <v>87</v>
      </c>
      <c r="G815" s="26">
        <v>43969</v>
      </c>
      <c r="H815" s="26">
        <v>43344</v>
      </c>
      <c r="I815" s="26">
        <v>45385</v>
      </c>
      <c r="J815" s="26">
        <v>48841</v>
      </c>
      <c r="K815" s="26">
        <v>41650</v>
      </c>
      <c r="L815" s="26">
        <v>28194</v>
      </c>
      <c r="M815" s="26">
        <v>42560</v>
      </c>
      <c r="N815" s="26">
        <f>N811*0.0767</f>
        <v>42927.225900000005</v>
      </c>
      <c r="P815" s="202">
        <v>799</v>
      </c>
      <c r="Q815" s="210">
        <v>10</v>
      </c>
      <c r="R815" s="205" t="s">
        <v>679</v>
      </c>
      <c r="S815" s="206" t="s">
        <v>169</v>
      </c>
      <c r="T815" s="211">
        <v>5200</v>
      </c>
      <c r="U815" s="211">
        <v>493.86</v>
      </c>
      <c r="V815" s="213">
        <v>3625.28</v>
      </c>
      <c r="W815" s="213">
        <v>69.72</v>
      </c>
    </row>
    <row r="816" spans="1:23" ht="15" customHeight="1">
      <c r="C816" s="3">
        <v>10</v>
      </c>
      <c r="D816" s="15" t="s">
        <v>620</v>
      </c>
      <c r="E816" s="312" t="s">
        <v>89</v>
      </c>
      <c r="G816" s="26">
        <v>84369</v>
      </c>
      <c r="H816" s="26">
        <v>83640</v>
      </c>
      <c r="I816" s="26">
        <v>91872</v>
      </c>
      <c r="J816" s="26">
        <v>105219</v>
      </c>
      <c r="K816" s="26">
        <v>87209</v>
      </c>
      <c r="L816" s="26">
        <v>62294</v>
      </c>
      <c r="M816" s="26">
        <v>99000</v>
      </c>
      <c r="N816" s="26">
        <f>N811*0.1753</f>
        <v>98111.378100000002</v>
      </c>
      <c r="P816" s="202">
        <v>800</v>
      </c>
      <c r="Q816" s="210">
        <v>10</v>
      </c>
      <c r="R816" s="205" t="s">
        <v>680</v>
      </c>
      <c r="S816" s="206" t="s">
        <v>171</v>
      </c>
      <c r="T816" s="211">
        <v>6000</v>
      </c>
      <c r="U816" s="211">
        <v>742.58</v>
      </c>
      <c r="V816" s="213">
        <v>6587.6</v>
      </c>
      <c r="W816" s="213">
        <v>109.79</v>
      </c>
    </row>
    <row r="817" spans="1:23" ht="15" customHeight="1">
      <c r="C817" s="3">
        <v>10</v>
      </c>
      <c r="D817" s="15" t="s">
        <v>621</v>
      </c>
      <c r="E817" s="312" t="s">
        <v>91</v>
      </c>
      <c r="G817" s="26">
        <v>77060</v>
      </c>
      <c r="H817" s="26">
        <v>82417</v>
      </c>
      <c r="I817" s="26">
        <v>71471</v>
      </c>
      <c r="J817" s="26">
        <v>102600</v>
      </c>
      <c r="K817" s="26">
        <v>63000</v>
      </c>
      <c r="L817" s="26">
        <v>44417</v>
      </c>
      <c r="M817" s="26">
        <v>65000</v>
      </c>
      <c r="N817" s="26">
        <v>65000</v>
      </c>
      <c r="P817" s="202">
        <v>801</v>
      </c>
      <c r="Q817" s="210">
        <v>10</v>
      </c>
      <c r="R817" s="205" t="s">
        <v>681</v>
      </c>
      <c r="S817" s="206" t="s">
        <v>682</v>
      </c>
      <c r="T817" s="211">
        <v>0</v>
      </c>
      <c r="U817" s="211">
        <v>0</v>
      </c>
      <c r="V817" s="213">
        <v>-547.5</v>
      </c>
      <c r="W817" s="213">
        <v>0</v>
      </c>
    </row>
    <row r="818" spans="1:23" ht="15" customHeight="1">
      <c r="C818" s="3">
        <v>10</v>
      </c>
      <c r="D818" s="15" t="s">
        <v>622</v>
      </c>
      <c r="E818" s="312" t="s">
        <v>93</v>
      </c>
      <c r="G818" s="26">
        <v>2517</v>
      </c>
      <c r="H818" s="26">
        <v>5182</v>
      </c>
      <c r="I818" s="26">
        <v>4870</v>
      </c>
      <c r="J818" s="26">
        <v>11863</v>
      </c>
      <c r="K818" s="26">
        <v>5500</v>
      </c>
      <c r="L818" s="26">
        <v>3008</v>
      </c>
      <c r="M818" s="26">
        <f>4884*1.33</f>
        <v>6495.72</v>
      </c>
      <c r="N818" s="26">
        <v>6500</v>
      </c>
      <c r="P818" s="202">
        <v>802</v>
      </c>
      <c r="Q818" s="210">
        <v>10</v>
      </c>
      <c r="R818" s="205" t="s">
        <v>683</v>
      </c>
      <c r="S818" s="206" t="s">
        <v>684</v>
      </c>
      <c r="T818" s="211">
        <v>0</v>
      </c>
      <c r="U818" s="211">
        <v>0</v>
      </c>
      <c r="V818" s="213">
        <v>0</v>
      </c>
      <c r="W818" s="213">
        <v>0</v>
      </c>
    </row>
    <row r="819" spans="1:23" ht="15" customHeight="1">
      <c r="C819" s="3">
        <v>10</v>
      </c>
      <c r="D819" s="15" t="s">
        <v>623</v>
      </c>
      <c r="E819" s="312" t="s">
        <v>95</v>
      </c>
      <c r="G819" s="26">
        <v>6338</v>
      </c>
      <c r="H819" s="26">
        <v>10746</v>
      </c>
      <c r="I819" s="26">
        <v>8906</v>
      </c>
      <c r="J819" s="26">
        <v>9206</v>
      </c>
      <c r="K819" s="26">
        <v>9500</v>
      </c>
      <c r="L819" s="26">
        <v>16263</v>
      </c>
      <c r="M819" s="26">
        <v>25000</v>
      </c>
      <c r="N819" s="26">
        <f>962*12</f>
        <v>11544</v>
      </c>
      <c r="O819" s="275" t="s">
        <v>3040</v>
      </c>
      <c r="P819" s="202">
        <v>803</v>
      </c>
      <c r="Q819" s="210">
        <v>10</v>
      </c>
      <c r="R819" s="205" t="s">
        <v>685</v>
      </c>
      <c r="S819" s="206" t="s">
        <v>686</v>
      </c>
      <c r="T819" s="211">
        <v>0</v>
      </c>
      <c r="U819" s="211">
        <v>0</v>
      </c>
      <c r="V819" s="213">
        <v>0</v>
      </c>
      <c r="W819" s="213">
        <v>0</v>
      </c>
    </row>
    <row r="820" spans="1:23" ht="15" customHeight="1">
      <c r="C820" s="3">
        <v>10</v>
      </c>
      <c r="D820" s="15" t="s">
        <v>624</v>
      </c>
      <c r="E820" s="312" t="s">
        <v>97</v>
      </c>
      <c r="G820" s="26">
        <v>8405</v>
      </c>
      <c r="H820" s="26">
        <v>7091</v>
      </c>
      <c r="I820" s="26">
        <v>7353</v>
      </c>
      <c r="J820" s="26">
        <v>7962</v>
      </c>
      <c r="K820" s="26">
        <v>7969</v>
      </c>
      <c r="L820" s="26">
        <v>5054</v>
      </c>
      <c r="M820" s="26">
        <f>6623*1.33</f>
        <v>8808.59</v>
      </c>
      <c r="N820" s="26">
        <v>11583</v>
      </c>
      <c r="P820" s="202">
        <v>804</v>
      </c>
      <c r="Q820" s="210">
        <v>10</v>
      </c>
      <c r="R820" s="205" t="s">
        <v>687</v>
      </c>
      <c r="S820" s="206" t="s">
        <v>173</v>
      </c>
      <c r="T820" s="211">
        <v>200</v>
      </c>
      <c r="U820" s="211">
        <v>0</v>
      </c>
      <c r="V820" s="213">
        <v>15.59</v>
      </c>
      <c r="W820" s="213">
        <v>7.8</v>
      </c>
    </row>
    <row r="821" spans="1:23" ht="15" customHeight="1">
      <c r="C821" s="3">
        <v>10</v>
      </c>
      <c r="D821" s="15" t="s">
        <v>625</v>
      </c>
      <c r="E821" s="312" t="s">
        <v>99</v>
      </c>
      <c r="G821" s="26">
        <v>937</v>
      </c>
      <c r="H821" s="26">
        <v>849</v>
      </c>
      <c r="I821" s="26">
        <v>967</v>
      </c>
      <c r="J821" s="26">
        <v>996</v>
      </c>
      <c r="K821" s="26">
        <v>943</v>
      </c>
      <c r="L821" s="26">
        <v>956</v>
      </c>
      <c r="M821" s="26">
        <f>956*1.33</f>
        <v>1271.48</v>
      </c>
      <c r="N821" s="26">
        <v>1271</v>
      </c>
      <c r="P821" s="202">
        <v>805</v>
      </c>
      <c r="Q821" s="210">
        <v>10</v>
      </c>
      <c r="R821" s="205" t="s">
        <v>688</v>
      </c>
      <c r="S821" s="206" t="s">
        <v>175</v>
      </c>
      <c r="T821" s="211">
        <v>0</v>
      </c>
      <c r="U821" s="211">
        <v>0</v>
      </c>
      <c r="V821" s="213">
        <v>0</v>
      </c>
      <c r="W821" s="213">
        <v>0</v>
      </c>
    </row>
    <row r="822" spans="1:23" ht="15" customHeight="1">
      <c r="C822" s="3">
        <v>10</v>
      </c>
      <c r="D822" s="15" t="s">
        <v>626</v>
      </c>
      <c r="E822" s="312" t="s">
        <v>101</v>
      </c>
      <c r="G822" s="26">
        <v>0</v>
      </c>
      <c r="H822" s="26">
        <v>0</v>
      </c>
      <c r="I822" s="26">
        <v>0</v>
      </c>
      <c r="J822" s="26">
        <v>0</v>
      </c>
      <c r="K822" s="26">
        <v>0</v>
      </c>
      <c r="L822" s="26">
        <v>0</v>
      </c>
      <c r="M822" s="26">
        <v>0</v>
      </c>
      <c r="N822" s="26">
        <v>0</v>
      </c>
      <c r="P822" s="202">
        <v>806</v>
      </c>
      <c r="Q822" s="210">
        <v>10</v>
      </c>
      <c r="R822" s="205" t="s">
        <v>689</v>
      </c>
      <c r="S822" s="206" t="s">
        <v>690</v>
      </c>
      <c r="T822" s="211">
        <v>1000</v>
      </c>
      <c r="U822" s="211">
        <v>0</v>
      </c>
      <c r="V822" s="213">
        <v>812.22</v>
      </c>
      <c r="W822" s="213">
        <v>81.22</v>
      </c>
    </row>
    <row r="823" spans="1:23" ht="15" customHeight="1">
      <c r="C823" s="3">
        <v>10</v>
      </c>
      <c r="D823" s="15" t="s">
        <v>627</v>
      </c>
      <c r="E823" s="312" t="s">
        <v>103</v>
      </c>
      <c r="G823" s="26">
        <v>0</v>
      </c>
      <c r="H823" s="26">
        <v>0</v>
      </c>
      <c r="I823" s="26">
        <v>0</v>
      </c>
      <c r="J823" s="26">
        <v>0</v>
      </c>
      <c r="K823" s="26">
        <v>0</v>
      </c>
      <c r="L823" s="26">
        <v>0</v>
      </c>
      <c r="M823" s="26">
        <v>0</v>
      </c>
      <c r="N823" s="26">
        <v>0</v>
      </c>
      <c r="P823" s="202">
        <v>807</v>
      </c>
      <c r="Q823" s="210">
        <v>10</v>
      </c>
      <c r="R823" s="205" t="s">
        <v>691</v>
      </c>
      <c r="S823" s="206" t="s">
        <v>244</v>
      </c>
      <c r="T823" s="211">
        <v>500</v>
      </c>
      <c r="U823" s="211">
        <v>0</v>
      </c>
      <c r="V823" s="213">
        <v>0</v>
      </c>
      <c r="W823" s="213">
        <v>0</v>
      </c>
    </row>
    <row r="824" spans="1:23" ht="15" customHeight="1">
      <c r="G824" s="26"/>
      <c r="H824" s="26"/>
      <c r="I824" s="26"/>
      <c r="J824" s="26"/>
      <c r="K824" s="26"/>
      <c r="L824" s="26"/>
      <c r="M824" s="26"/>
      <c r="N824" s="26"/>
      <c r="P824" s="202">
        <v>808</v>
      </c>
      <c r="Q824" s="210">
        <v>10</v>
      </c>
      <c r="R824" s="205" t="s">
        <v>2623</v>
      </c>
      <c r="S824" s="206"/>
      <c r="T824" s="211"/>
      <c r="U824" s="211"/>
      <c r="V824" s="213"/>
      <c r="W824" s="213"/>
    </row>
    <row r="825" spans="1:23" s="72" customFormat="1" ht="15" customHeight="1">
      <c r="A825" s="5" t="s">
        <v>2410</v>
      </c>
      <c r="B825" s="5" t="s">
        <v>2317</v>
      </c>
      <c r="C825" s="3"/>
      <c r="D825" s="323" t="s">
        <v>2084</v>
      </c>
      <c r="E825" s="323"/>
      <c r="F825" s="324"/>
      <c r="G825" s="325">
        <f>SUM(G809:G824)</f>
        <v>826661</v>
      </c>
      <c r="H825" s="325">
        <f t="shared" ref="H825:N825" si="76">SUM(H809:H824)</f>
        <v>808642</v>
      </c>
      <c r="I825" s="325">
        <f t="shared" si="76"/>
        <v>855710</v>
      </c>
      <c r="J825" s="325">
        <f t="shared" si="76"/>
        <v>917983</v>
      </c>
      <c r="K825" s="325">
        <f t="shared" si="76"/>
        <v>868759</v>
      </c>
      <c r="L825" s="325">
        <f t="shared" si="76"/>
        <v>539672</v>
      </c>
      <c r="M825" s="325">
        <f t="shared" si="76"/>
        <v>897095.98999999987</v>
      </c>
      <c r="N825" s="325">
        <f t="shared" si="76"/>
        <v>909158.60399999993</v>
      </c>
      <c r="O825" s="286"/>
      <c r="P825" s="202">
        <v>809</v>
      </c>
      <c r="Q825" s="210">
        <v>10</v>
      </c>
      <c r="R825" s="205" t="s">
        <v>163</v>
      </c>
      <c r="S825" s="206"/>
      <c r="T825" s="211">
        <v>18400</v>
      </c>
      <c r="U825" s="211">
        <v>2027.82</v>
      </c>
      <c r="V825" s="213">
        <v>18346.3</v>
      </c>
      <c r="W825" s="213">
        <v>0</v>
      </c>
    </row>
    <row r="826" spans="1:23" s="46" customFormat="1" ht="15" customHeight="1">
      <c r="A826" s="2"/>
      <c r="B826" s="2"/>
      <c r="C826" s="3"/>
      <c r="D826" s="47"/>
      <c r="E826" s="47"/>
      <c r="F826" s="191"/>
      <c r="G826" s="48"/>
      <c r="H826" s="48"/>
      <c r="I826" s="48"/>
      <c r="J826" s="48"/>
      <c r="K826" s="48"/>
      <c r="L826" s="48"/>
      <c r="M826" s="48"/>
      <c r="N826" s="48"/>
      <c r="O826" s="289"/>
      <c r="P826" s="202">
        <v>810</v>
      </c>
      <c r="Q826" s="210">
        <v>10</v>
      </c>
      <c r="R826" s="205" t="s">
        <v>245</v>
      </c>
      <c r="S826" s="206"/>
      <c r="T826" s="211"/>
      <c r="U826" s="211"/>
      <c r="V826" s="213"/>
      <c r="W826" s="213"/>
    </row>
    <row r="827" spans="1:23" ht="15" customHeight="1">
      <c r="D827" s="47" t="s">
        <v>2085</v>
      </c>
      <c r="G827" s="26"/>
      <c r="H827" s="26"/>
      <c r="I827" s="26"/>
      <c r="J827" s="26"/>
      <c r="K827" s="26"/>
      <c r="L827" s="26"/>
      <c r="M827" s="26"/>
      <c r="N827" s="26"/>
      <c r="P827" s="202">
        <v>811</v>
      </c>
      <c r="Q827" s="210">
        <v>10</v>
      </c>
      <c r="R827" s="205" t="s">
        <v>2628</v>
      </c>
      <c r="S827" s="206"/>
      <c r="T827" s="211"/>
      <c r="U827" s="211"/>
      <c r="V827" s="213"/>
      <c r="W827" s="213"/>
    </row>
    <row r="828" spans="1:23" ht="15" customHeight="1">
      <c r="G828" s="26"/>
      <c r="H828" s="26"/>
      <c r="I828" s="26"/>
      <c r="J828" s="26"/>
      <c r="K828" s="26"/>
      <c r="L828" s="26"/>
      <c r="M828" s="26"/>
      <c r="N828" s="26"/>
      <c r="P828" s="202">
        <v>812</v>
      </c>
      <c r="Q828" s="210">
        <v>10</v>
      </c>
      <c r="R828" s="205" t="s">
        <v>692</v>
      </c>
      <c r="S828" s="206" t="s">
        <v>435</v>
      </c>
      <c r="T828" s="211">
        <v>0</v>
      </c>
      <c r="U828" s="211">
        <v>0</v>
      </c>
      <c r="V828" s="213">
        <v>0</v>
      </c>
      <c r="W828" s="213">
        <v>0</v>
      </c>
    </row>
    <row r="829" spans="1:23" ht="15" customHeight="1">
      <c r="C829" s="3">
        <v>10</v>
      </c>
      <c r="D829" s="15" t="s">
        <v>628</v>
      </c>
      <c r="E829" s="312" t="s">
        <v>115</v>
      </c>
      <c r="G829" s="26">
        <v>30</v>
      </c>
      <c r="H829" s="26">
        <v>1250</v>
      </c>
      <c r="I829" s="26">
        <v>997</v>
      </c>
      <c r="J829" s="26">
        <v>1046</v>
      </c>
      <c r="K829" s="26">
        <v>900</v>
      </c>
      <c r="L829" s="26">
        <v>787</v>
      </c>
      <c r="M829" s="26">
        <v>900</v>
      </c>
      <c r="N829" s="26">
        <v>1000</v>
      </c>
      <c r="O829" s="285"/>
      <c r="P829" s="202">
        <v>813</v>
      </c>
      <c r="Q829" s="210">
        <v>10</v>
      </c>
      <c r="R829" s="205" t="s">
        <v>693</v>
      </c>
      <c r="S829" s="206" t="s">
        <v>200</v>
      </c>
      <c r="T829" s="211">
        <v>5600</v>
      </c>
      <c r="U829" s="211">
        <v>0</v>
      </c>
      <c r="V829" s="213">
        <v>4348.6499999999996</v>
      </c>
      <c r="W829" s="213">
        <v>77.650000000000006</v>
      </c>
    </row>
    <row r="830" spans="1:23" ht="15" customHeight="1">
      <c r="C830" s="3">
        <v>10</v>
      </c>
      <c r="D830" s="15" t="s">
        <v>629</v>
      </c>
      <c r="E830" s="312" t="s">
        <v>117</v>
      </c>
      <c r="G830" s="26">
        <v>157</v>
      </c>
      <c r="H830" s="26">
        <v>166</v>
      </c>
      <c r="I830" s="26">
        <v>141</v>
      </c>
      <c r="J830" s="26">
        <v>189</v>
      </c>
      <c r="K830" s="26">
        <v>200</v>
      </c>
      <c r="L830" s="26">
        <v>56</v>
      </c>
      <c r="M830" s="26">
        <v>200</v>
      </c>
      <c r="N830" s="26">
        <v>200</v>
      </c>
      <c r="O830" s="285"/>
      <c r="P830" s="202">
        <v>814</v>
      </c>
      <c r="Q830" s="210">
        <v>10</v>
      </c>
      <c r="R830" s="205" t="s">
        <v>694</v>
      </c>
      <c r="S830" s="206" t="s">
        <v>329</v>
      </c>
      <c r="T830" s="211">
        <v>0</v>
      </c>
      <c r="U830" s="211">
        <v>0</v>
      </c>
      <c r="V830" s="213">
        <v>0</v>
      </c>
      <c r="W830" s="213">
        <v>0</v>
      </c>
    </row>
    <row r="831" spans="1:23" ht="15" customHeight="1">
      <c r="C831" s="3">
        <v>10</v>
      </c>
      <c r="D831" s="15" t="s">
        <v>630</v>
      </c>
      <c r="E831" s="312" t="s">
        <v>119</v>
      </c>
      <c r="G831" s="26">
        <v>231</v>
      </c>
      <c r="H831" s="26">
        <v>171</v>
      </c>
      <c r="I831" s="26">
        <v>119</v>
      </c>
      <c r="J831" s="26">
        <v>257</v>
      </c>
      <c r="K831" s="26">
        <v>250</v>
      </c>
      <c r="L831" s="26">
        <v>179</v>
      </c>
      <c r="M831" s="26">
        <v>250</v>
      </c>
      <c r="N831" s="26">
        <v>275</v>
      </c>
      <c r="O831" s="285"/>
      <c r="P831" s="202">
        <v>815</v>
      </c>
      <c r="Q831" s="210">
        <v>10</v>
      </c>
      <c r="R831" s="205" t="s">
        <v>695</v>
      </c>
      <c r="S831" s="206" t="s">
        <v>165</v>
      </c>
      <c r="T831" s="211">
        <v>0</v>
      </c>
      <c r="U831" s="211">
        <v>0</v>
      </c>
      <c r="V831" s="213">
        <v>0</v>
      </c>
      <c r="W831" s="213">
        <v>0</v>
      </c>
    </row>
    <row r="832" spans="1:23" ht="15" customHeight="1">
      <c r="C832" s="3">
        <v>10</v>
      </c>
      <c r="D832" s="15" t="s">
        <v>631</v>
      </c>
      <c r="E832" s="312" t="s">
        <v>121</v>
      </c>
      <c r="G832" s="26">
        <v>154</v>
      </c>
      <c r="H832" s="26">
        <v>225</v>
      </c>
      <c r="I832" s="26">
        <v>0</v>
      </c>
      <c r="J832" s="26">
        <v>32</v>
      </c>
      <c r="K832" s="26">
        <v>0</v>
      </c>
      <c r="L832" s="26">
        <v>58</v>
      </c>
      <c r="M832" s="26">
        <v>58</v>
      </c>
      <c r="N832" s="26">
        <v>200</v>
      </c>
      <c r="O832" s="285"/>
      <c r="P832" s="202">
        <v>816</v>
      </c>
      <c r="Q832" s="210">
        <v>10</v>
      </c>
      <c r="R832" s="205" t="s">
        <v>696</v>
      </c>
      <c r="S832" s="206" t="s">
        <v>167</v>
      </c>
      <c r="T832" s="211">
        <v>0</v>
      </c>
      <c r="U832" s="211">
        <v>0</v>
      </c>
      <c r="V832" s="213">
        <v>0</v>
      </c>
      <c r="W832" s="213">
        <v>0</v>
      </c>
    </row>
    <row r="833" spans="3:23" ht="15" customHeight="1">
      <c r="C833" s="3">
        <v>10</v>
      </c>
      <c r="D833" s="15" t="s">
        <v>632</v>
      </c>
      <c r="E833" s="312" t="s">
        <v>123</v>
      </c>
      <c r="G833" s="26">
        <v>0</v>
      </c>
      <c r="H833" s="26">
        <v>76</v>
      </c>
      <c r="I833" s="26">
        <v>855</v>
      </c>
      <c r="J833" s="26">
        <v>1018</v>
      </c>
      <c r="K833" s="26">
        <v>1000</v>
      </c>
      <c r="L833" s="26">
        <v>862</v>
      </c>
      <c r="M833" s="26">
        <v>1000</v>
      </c>
      <c r="N833" s="26">
        <v>1000</v>
      </c>
      <c r="O833" s="285"/>
      <c r="P833" s="202">
        <v>817</v>
      </c>
      <c r="Q833" s="210">
        <v>10</v>
      </c>
      <c r="R833" s="205" t="s">
        <v>697</v>
      </c>
      <c r="S833" s="206" t="s">
        <v>247</v>
      </c>
      <c r="T833" s="211">
        <v>73500</v>
      </c>
      <c r="U833" s="211">
        <v>0</v>
      </c>
      <c r="V833" s="213">
        <v>17995.830000000002</v>
      </c>
      <c r="W833" s="213">
        <v>24.48</v>
      </c>
    </row>
    <row r="834" spans="3:23" ht="15" customHeight="1">
      <c r="C834" s="3">
        <v>10</v>
      </c>
      <c r="D834" s="15" t="s">
        <v>633</v>
      </c>
      <c r="E834" s="312" t="s">
        <v>125</v>
      </c>
      <c r="G834" s="26">
        <v>169</v>
      </c>
      <c r="H834" s="26">
        <v>48</v>
      </c>
      <c r="I834" s="26">
        <v>237</v>
      </c>
      <c r="J834" s="26">
        <v>202</v>
      </c>
      <c r="K834" s="26">
        <v>300</v>
      </c>
      <c r="L834" s="26">
        <v>0</v>
      </c>
      <c r="M834" s="26">
        <v>300</v>
      </c>
      <c r="N834" s="26">
        <v>0</v>
      </c>
      <c r="O834" s="285"/>
      <c r="P834" s="202">
        <v>818</v>
      </c>
      <c r="Q834" s="210">
        <v>10</v>
      </c>
      <c r="R834" s="205" t="s">
        <v>698</v>
      </c>
      <c r="S834" s="206" t="s">
        <v>461</v>
      </c>
      <c r="T834" s="211">
        <v>-60500</v>
      </c>
      <c r="U834" s="211">
        <v>0</v>
      </c>
      <c r="V834" s="213">
        <v>0</v>
      </c>
      <c r="W834" s="213">
        <v>0</v>
      </c>
    </row>
    <row r="835" spans="3:23" ht="15" customHeight="1">
      <c r="C835" s="3">
        <v>10</v>
      </c>
      <c r="D835" s="15" t="s">
        <v>634</v>
      </c>
      <c r="E835" s="312" t="s">
        <v>106</v>
      </c>
      <c r="G835" s="26">
        <v>1236</v>
      </c>
      <c r="H835" s="26">
        <v>14088</v>
      </c>
      <c r="I835" s="26">
        <v>12057</v>
      </c>
      <c r="J835" s="26">
        <v>17172</v>
      </c>
      <c r="K835" s="26">
        <v>14000</v>
      </c>
      <c r="L835" s="26">
        <v>6303</v>
      </c>
      <c r="M835" s="26">
        <v>13000</v>
      </c>
      <c r="N835" s="26">
        <v>13000</v>
      </c>
      <c r="O835" s="285"/>
      <c r="P835" s="202">
        <v>819</v>
      </c>
      <c r="Q835" s="210">
        <v>10</v>
      </c>
      <c r="R835" s="205" t="s">
        <v>699</v>
      </c>
      <c r="S835" s="206" t="s">
        <v>382</v>
      </c>
      <c r="T835" s="211">
        <v>0</v>
      </c>
      <c r="U835" s="211">
        <v>0</v>
      </c>
      <c r="V835" s="213">
        <v>0</v>
      </c>
      <c r="W835" s="213">
        <v>0</v>
      </c>
    </row>
    <row r="836" spans="3:23" ht="15" customHeight="1">
      <c r="C836" s="3">
        <v>10</v>
      </c>
      <c r="D836" s="15" t="s">
        <v>635</v>
      </c>
      <c r="E836" s="312" t="s">
        <v>197</v>
      </c>
      <c r="G836" s="26">
        <v>0</v>
      </c>
      <c r="H836" s="26">
        <v>0</v>
      </c>
      <c r="I836" s="26">
        <v>0</v>
      </c>
      <c r="J836" s="26">
        <v>0</v>
      </c>
      <c r="K836" s="26">
        <v>0</v>
      </c>
      <c r="L836" s="26">
        <v>0</v>
      </c>
      <c r="M836" s="26">
        <v>0</v>
      </c>
      <c r="N836" s="26">
        <v>0</v>
      </c>
      <c r="O836" s="285"/>
      <c r="P836" s="202">
        <v>820</v>
      </c>
      <c r="Q836" s="210">
        <v>10</v>
      </c>
      <c r="R836" s="205" t="s">
        <v>700</v>
      </c>
      <c r="S836" s="206" t="s">
        <v>173</v>
      </c>
      <c r="T836" s="211">
        <v>0</v>
      </c>
      <c r="U836" s="211">
        <v>0</v>
      </c>
      <c r="V836" s="213">
        <v>0</v>
      </c>
      <c r="W836" s="213">
        <v>0</v>
      </c>
    </row>
    <row r="837" spans="3:23" ht="15" customHeight="1">
      <c r="C837" s="3">
        <v>10</v>
      </c>
      <c r="D837" s="15" t="s">
        <v>636</v>
      </c>
      <c r="E837" s="312" t="s">
        <v>128</v>
      </c>
      <c r="G837" s="26">
        <v>438</v>
      </c>
      <c r="H837" s="26">
        <v>457</v>
      </c>
      <c r="I837" s="26">
        <v>231</v>
      </c>
      <c r="J837" s="26">
        <v>400</v>
      </c>
      <c r="K837" s="26">
        <v>500</v>
      </c>
      <c r="L837" s="26">
        <v>104</v>
      </c>
      <c r="M837" s="26">
        <v>500</v>
      </c>
      <c r="N837" s="26">
        <v>500</v>
      </c>
      <c r="O837" s="285"/>
      <c r="P837" s="202">
        <v>821</v>
      </c>
      <c r="Q837" s="210">
        <v>10</v>
      </c>
      <c r="R837" s="205" t="s">
        <v>701</v>
      </c>
      <c r="S837" s="206" t="s">
        <v>702</v>
      </c>
      <c r="T837" s="211">
        <v>6000</v>
      </c>
      <c r="U837" s="211">
        <v>0</v>
      </c>
      <c r="V837" s="213">
        <v>6039</v>
      </c>
      <c r="W837" s="213">
        <v>100.65</v>
      </c>
    </row>
    <row r="838" spans="3:23" ht="15" customHeight="1">
      <c r="C838" s="3">
        <v>10</v>
      </c>
      <c r="D838" s="15" t="s">
        <v>637</v>
      </c>
      <c r="E838" s="312" t="s">
        <v>200</v>
      </c>
      <c r="G838" s="26">
        <v>17382</v>
      </c>
      <c r="H838" s="26">
        <v>17940</v>
      </c>
      <c r="I838" s="26">
        <v>21479</v>
      </c>
      <c r="J838" s="26">
        <v>22034</v>
      </c>
      <c r="K838" s="26">
        <v>22000</v>
      </c>
      <c r="L838" s="26">
        <v>18120</v>
      </c>
      <c r="M838" s="26">
        <v>22000</v>
      </c>
      <c r="N838" s="26">
        <v>22000</v>
      </c>
      <c r="O838" s="285"/>
      <c r="P838" s="202">
        <v>822</v>
      </c>
      <c r="Q838" s="210">
        <v>10</v>
      </c>
      <c r="R838" s="205" t="s">
        <v>703</v>
      </c>
      <c r="S838" s="206" t="s">
        <v>244</v>
      </c>
      <c r="T838" s="211">
        <v>0</v>
      </c>
      <c r="U838" s="211">
        <v>0</v>
      </c>
      <c r="V838" s="213">
        <v>0</v>
      </c>
      <c r="W838" s="213">
        <v>0</v>
      </c>
    </row>
    <row r="839" spans="3:23" ht="15" customHeight="1">
      <c r="C839" s="3">
        <v>10</v>
      </c>
      <c r="D839" s="15" t="s">
        <v>638</v>
      </c>
      <c r="E839" s="312" t="s">
        <v>202</v>
      </c>
      <c r="G839" s="26">
        <v>0</v>
      </c>
      <c r="H839" s="26">
        <v>0</v>
      </c>
      <c r="I839" s="26">
        <v>0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85"/>
      <c r="P839" s="202">
        <v>823</v>
      </c>
      <c r="Q839" s="210">
        <v>10</v>
      </c>
      <c r="R839" s="205" t="s">
        <v>2623</v>
      </c>
      <c r="S839" s="206"/>
      <c r="T839" s="211"/>
      <c r="U839" s="211"/>
      <c r="V839" s="213"/>
      <c r="W839" s="213"/>
    </row>
    <row r="840" spans="3:23" ht="15" customHeight="1">
      <c r="C840" s="3">
        <v>10</v>
      </c>
      <c r="D840" s="15" t="s">
        <v>639</v>
      </c>
      <c r="E840" s="312" t="s">
        <v>130</v>
      </c>
      <c r="G840" s="26">
        <v>22269</v>
      </c>
      <c r="H840" s="26">
        <v>808</v>
      </c>
      <c r="I840" s="26">
        <v>973</v>
      </c>
      <c r="J840" s="26">
        <v>1689</v>
      </c>
      <c r="K840" s="26">
        <v>0</v>
      </c>
      <c r="L840" s="26">
        <v>1039</v>
      </c>
      <c r="M840" s="26">
        <v>1500</v>
      </c>
      <c r="N840" s="26">
        <v>1000</v>
      </c>
      <c r="O840" s="285"/>
      <c r="P840" s="202">
        <v>824</v>
      </c>
      <c r="Q840" s="210">
        <v>10</v>
      </c>
      <c r="R840" s="205" t="s">
        <v>245</v>
      </c>
      <c r="S840" s="206"/>
      <c r="T840" s="211">
        <v>24600</v>
      </c>
      <c r="U840" s="211">
        <v>0</v>
      </c>
      <c r="V840" s="213">
        <v>28383.48</v>
      </c>
      <c r="W840" s="213">
        <v>0</v>
      </c>
    </row>
    <row r="841" spans="3:23" ht="15" customHeight="1">
      <c r="C841" s="3">
        <v>10</v>
      </c>
      <c r="D841" s="15" t="s">
        <v>640</v>
      </c>
      <c r="E841" s="312" t="s">
        <v>2553</v>
      </c>
      <c r="G841" s="26">
        <v>0</v>
      </c>
      <c r="H841" s="26">
        <v>0</v>
      </c>
      <c r="I841" s="26">
        <v>0</v>
      </c>
      <c r="J841" s="26">
        <v>0</v>
      </c>
      <c r="K841" s="26">
        <v>0</v>
      </c>
      <c r="L841" s="26">
        <v>0</v>
      </c>
      <c r="M841" s="26">
        <v>0</v>
      </c>
      <c r="N841" s="26">
        <v>0</v>
      </c>
      <c r="O841" s="285"/>
      <c r="P841" s="202">
        <v>825</v>
      </c>
      <c r="Q841" s="210">
        <v>10</v>
      </c>
      <c r="R841" s="205" t="s">
        <v>2623</v>
      </c>
      <c r="S841" s="206"/>
      <c r="T841" s="211"/>
      <c r="U841" s="211"/>
      <c r="V841" s="213"/>
      <c r="W841" s="213"/>
    </row>
    <row r="842" spans="3:23" ht="15" customHeight="1">
      <c r="C842" s="3">
        <v>10</v>
      </c>
      <c r="D842" s="15" t="s">
        <v>641</v>
      </c>
      <c r="E842" s="312" t="s">
        <v>132</v>
      </c>
      <c r="G842" s="26">
        <v>3582</v>
      </c>
      <c r="H842" s="26">
        <v>847</v>
      </c>
      <c r="I842" s="26">
        <v>2398</v>
      </c>
      <c r="J842" s="26">
        <v>3056</v>
      </c>
      <c r="K842" s="26">
        <v>3500</v>
      </c>
      <c r="L842" s="26">
        <v>2618</v>
      </c>
      <c r="M842" s="26">
        <v>3500</v>
      </c>
      <c r="N842" s="26">
        <v>3500</v>
      </c>
      <c r="O842" s="285"/>
      <c r="P842" s="202">
        <v>826</v>
      </c>
      <c r="Q842" s="210">
        <v>10</v>
      </c>
      <c r="R842" s="205" t="s">
        <v>9</v>
      </c>
      <c r="S842" s="206"/>
      <c r="T842" s="211">
        <v>1065568</v>
      </c>
      <c r="U842" s="211">
        <v>87727.93</v>
      </c>
      <c r="V842" s="213">
        <v>735742.59</v>
      </c>
      <c r="W842" s="213">
        <v>69.05</v>
      </c>
    </row>
    <row r="843" spans="3:23" ht="15" customHeight="1">
      <c r="C843" s="3">
        <v>10</v>
      </c>
      <c r="D843" s="15" t="s">
        <v>642</v>
      </c>
      <c r="E843" s="312" t="s">
        <v>643</v>
      </c>
      <c r="G843" s="26">
        <v>0</v>
      </c>
      <c r="H843" s="26">
        <v>0</v>
      </c>
      <c r="I843" s="26">
        <v>0</v>
      </c>
      <c r="J843" s="26">
        <v>0</v>
      </c>
      <c r="K843" s="26">
        <v>0</v>
      </c>
      <c r="L843" s="26">
        <v>0</v>
      </c>
      <c r="M843" s="26">
        <v>0</v>
      </c>
      <c r="N843" s="26">
        <v>0</v>
      </c>
      <c r="O843" s="285"/>
      <c r="P843" s="202">
        <v>827</v>
      </c>
      <c r="Q843" s="210">
        <v>10</v>
      </c>
      <c r="R843" s="205" t="s">
        <v>2621</v>
      </c>
      <c r="S843" s="206"/>
      <c r="T843" s="211"/>
      <c r="U843" s="211"/>
      <c r="V843" s="213"/>
      <c r="W843" s="213"/>
    </row>
    <row r="844" spans="3:23" ht="15" customHeight="1">
      <c r="C844" s="3">
        <v>10</v>
      </c>
      <c r="D844" s="15" t="s">
        <v>644</v>
      </c>
      <c r="E844" s="312" t="s">
        <v>206</v>
      </c>
      <c r="G844" s="26">
        <v>1729</v>
      </c>
      <c r="H844" s="26">
        <v>2456</v>
      </c>
      <c r="I844" s="26">
        <v>1989</v>
      </c>
      <c r="J844" s="26">
        <v>1579</v>
      </c>
      <c r="K844" s="26">
        <v>1800</v>
      </c>
      <c r="L844" s="26">
        <v>906</v>
      </c>
      <c r="M844" s="26">
        <v>1600</v>
      </c>
      <c r="N844" s="26">
        <v>1500</v>
      </c>
      <c r="O844" s="285"/>
      <c r="P844" s="202">
        <v>828</v>
      </c>
      <c r="Q844" s="210">
        <v>10</v>
      </c>
      <c r="R844" s="205" t="s">
        <v>2622</v>
      </c>
      <c r="S844" s="206"/>
      <c r="T844" s="211"/>
      <c r="U844" s="211"/>
      <c r="V844" s="213"/>
      <c r="W844" s="213"/>
    </row>
    <row r="845" spans="3:23" ht="15" customHeight="1">
      <c r="C845" s="3">
        <v>10</v>
      </c>
      <c r="D845" s="15" t="s">
        <v>645</v>
      </c>
      <c r="E845" s="312" t="s">
        <v>208</v>
      </c>
      <c r="G845" s="26">
        <v>871</v>
      </c>
      <c r="H845" s="26">
        <v>1672</v>
      </c>
      <c r="I845" s="26">
        <v>1257</v>
      </c>
      <c r="J845" s="26">
        <v>1347</v>
      </c>
      <c r="K845" s="26">
        <v>1500</v>
      </c>
      <c r="L845" s="26">
        <v>454</v>
      </c>
      <c r="M845" s="26">
        <v>1500</v>
      </c>
      <c r="N845" s="26">
        <v>1300</v>
      </c>
      <c r="O845" s="285"/>
      <c r="P845" s="202">
        <v>829</v>
      </c>
      <c r="Q845" s="210">
        <v>10</v>
      </c>
      <c r="R845" s="205" t="s">
        <v>704</v>
      </c>
      <c r="S845" s="206" t="s">
        <v>79</v>
      </c>
      <c r="T845" s="211">
        <v>54838</v>
      </c>
      <c r="U845" s="211">
        <v>6310</v>
      </c>
      <c r="V845" s="213">
        <v>49706.84</v>
      </c>
      <c r="W845" s="213">
        <v>90.64</v>
      </c>
    </row>
    <row r="846" spans="3:23" ht="15" customHeight="1">
      <c r="C846" s="3">
        <v>10</v>
      </c>
      <c r="D846" s="15" t="s">
        <v>646</v>
      </c>
      <c r="E846" s="312" t="s">
        <v>912</v>
      </c>
      <c r="G846" s="26">
        <v>0</v>
      </c>
      <c r="H846" s="26">
        <v>0</v>
      </c>
      <c r="I846" s="26">
        <v>0</v>
      </c>
      <c r="J846" s="26">
        <v>-135</v>
      </c>
      <c r="K846" s="26">
        <v>0</v>
      </c>
      <c r="L846" s="26">
        <v>0</v>
      </c>
      <c r="M846" s="26">
        <v>0</v>
      </c>
      <c r="N846" s="26">
        <v>0</v>
      </c>
      <c r="O846" s="285"/>
      <c r="P846" s="202">
        <v>830</v>
      </c>
      <c r="Q846" s="210">
        <v>10</v>
      </c>
      <c r="R846" s="205" t="s">
        <v>705</v>
      </c>
      <c r="S846" s="206" t="s">
        <v>81</v>
      </c>
      <c r="T846" s="211">
        <v>13318</v>
      </c>
      <c r="U846" s="211">
        <v>1348.45</v>
      </c>
      <c r="V846" s="213">
        <v>11028.94</v>
      </c>
      <c r="W846" s="213">
        <v>82.81</v>
      </c>
    </row>
    <row r="847" spans="3:23" ht="15" customHeight="1">
      <c r="C847" s="3">
        <v>10</v>
      </c>
      <c r="D847" s="15" t="s">
        <v>647</v>
      </c>
      <c r="E847" s="312" t="s">
        <v>210</v>
      </c>
      <c r="G847" s="26">
        <v>153</v>
      </c>
      <c r="H847" s="26">
        <v>223</v>
      </c>
      <c r="I847" s="26">
        <v>106</v>
      </c>
      <c r="J847" s="26">
        <v>109</v>
      </c>
      <c r="K847" s="26">
        <v>150</v>
      </c>
      <c r="L847" s="26">
        <v>21</v>
      </c>
      <c r="M847" s="26">
        <v>150</v>
      </c>
      <c r="N847" s="26">
        <v>2500</v>
      </c>
      <c r="O847" s="285" t="s">
        <v>2821</v>
      </c>
      <c r="P847" s="202">
        <v>831</v>
      </c>
      <c r="Q847" s="210">
        <v>10</v>
      </c>
      <c r="R847" s="205" t="s">
        <v>706</v>
      </c>
      <c r="S847" s="206" t="s">
        <v>83</v>
      </c>
      <c r="T847" s="211">
        <v>0</v>
      </c>
      <c r="U847" s="211">
        <v>0</v>
      </c>
      <c r="V847" s="213">
        <v>0</v>
      </c>
      <c r="W847" s="213">
        <v>0</v>
      </c>
    </row>
    <row r="848" spans="3:23" ht="15" customHeight="1">
      <c r="C848" s="3">
        <v>10</v>
      </c>
      <c r="D848" s="15" t="s">
        <v>648</v>
      </c>
      <c r="E848" s="312" t="s">
        <v>134</v>
      </c>
      <c r="G848" s="26">
        <v>43</v>
      </c>
      <c r="H848" s="26">
        <v>1113</v>
      </c>
      <c r="I848" s="26">
        <v>550</v>
      </c>
      <c r="J848" s="26">
        <v>695</v>
      </c>
      <c r="K848" s="26">
        <v>700</v>
      </c>
      <c r="L848" s="26">
        <v>-3</v>
      </c>
      <c r="M848" s="26">
        <v>700</v>
      </c>
      <c r="N848" s="26">
        <v>700</v>
      </c>
      <c r="O848" s="285"/>
      <c r="P848" s="202">
        <v>832</v>
      </c>
      <c r="Q848" s="210">
        <v>10</v>
      </c>
      <c r="R848" s="205" t="s">
        <v>707</v>
      </c>
      <c r="S848" s="206" t="s">
        <v>85</v>
      </c>
      <c r="T848" s="211">
        <v>390</v>
      </c>
      <c r="U848" s="211">
        <v>0</v>
      </c>
      <c r="V848" s="213">
        <v>437.67</v>
      </c>
      <c r="W848" s="213">
        <v>112.22</v>
      </c>
    </row>
    <row r="849" spans="1:23" ht="15" customHeight="1">
      <c r="C849" s="3">
        <v>10</v>
      </c>
      <c r="D849" s="15" t="s">
        <v>649</v>
      </c>
      <c r="E849" s="312" t="s">
        <v>213</v>
      </c>
      <c r="G849" s="26">
        <v>53</v>
      </c>
      <c r="H849" s="26">
        <v>201</v>
      </c>
      <c r="I849" s="26">
        <v>299</v>
      </c>
      <c r="J849" s="26">
        <v>0</v>
      </c>
      <c r="K849" s="26">
        <v>500</v>
      </c>
      <c r="L849" s="26">
        <v>88</v>
      </c>
      <c r="M849" s="26">
        <v>0</v>
      </c>
      <c r="N849" s="26">
        <v>500</v>
      </c>
      <c r="O849" s="285"/>
      <c r="P849" s="202">
        <v>833</v>
      </c>
      <c r="Q849" s="210">
        <v>10</v>
      </c>
      <c r="R849" s="205" t="s">
        <v>708</v>
      </c>
      <c r="S849" s="206" t="s">
        <v>87</v>
      </c>
      <c r="T849" s="211">
        <v>4206</v>
      </c>
      <c r="U849" s="211">
        <v>656.48</v>
      </c>
      <c r="V849" s="213">
        <v>4048.03</v>
      </c>
      <c r="W849" s="213">
        <v>96.24</v>
      </c>
    </row>
    <row r="850" spans="1:23" ht="15" customHeight="1">
      <c r="G850" s="26"/>
      <c r="H850" s="26"/>
      <c r="I850" s="26"/>
      <c r="J850" s="26"/>
      <c r="K850" s="26"/>
      <c r="L850" s="26"/>
      <c r="M850" s="26"/>
      <c r="N850" s="26"/>
      <c r="P850" s="202">
        <v>834</v>
      </c>
      <c r="Q850" s="210">
        <v>10</v>
      </c>
      <c r="R850" s="205" t="s">
        <v>709</v>
      </c>
      <c r="S850" s="206" t="s">
        <v>89</v>
      </c>
      <c r="T850" s="211">
        <v>8807</v>
      </c>
      <c r="U850" s="211">
        <v>1061.19</v>
      </c>
      <c r="V850" s="213">
        <v>8365.16</v>
      </c>
      <c r="W850" s="213">
        <v>94.98</v>
      </c>
    </row>
    <row r="851" spans="1:23" s="200" customFormat="1" ht="15" customHeight="1">
      <c r="A851" s="196" t="s">
        <v>104</v>
      </c>
      <c r="B851" s="196" t="s">
        <v>2317</v>
      </c>
      <c r="C851" s="75"/>
      <c r="D851" s="323" t="s">
        <v>2086</v>
      </c>
      <c r="E851" s="323"/>
      <c r="F851" s="324"/>
      <c r="G851" s="325">
        <f>SUM(G827:G850)</f>
        <v>48497</v>
      </c>
      <c r="H851" s="325">
        <f t="shared" ref="H851:N851" si="77">SUM(H827:H850)</f>
        <v>41741</v>
      </c>
      <c r="I851" s="325">
        <f t="shared" si="77"/>
        <v>43688</v>
      </c>
      <c r="J851" s="325">
        <f t="shared" si="77"/>
        <v>50690</v>
      </c>
      <c r="K851" s="325">
        <f t="shared" si="77"/>
        <v>47300</v>
      </c>
      <c r="L851" s="325">
        <f t="shared" si="77"/>
        <v>31592</v>
      </c>
      <c r="M851" s="325">
        <f t="shared" si="77"/>
        <v>47158</v>
      </c>
      <c r="N851" s="325">
        <f t="shared" si="77"/>
        <v>49175</v>
      </c>
      <c r="O851" s="287"/>
      <c r="P851" s="202">
        <v>835</v>
      </c>
      <c r="Q851" s="210">
        <v>10</v>
      </c>
      <c r="R851" s="205" t="s">
        <v>710</v>
      </c>
      <c r="S851" s="206" t="s">
        <v>91</v>
      </c>
      <c r="T851" s="211">
        <v>1500</v>
      </c>
      <c r="U851" s="211">
        <v>194.35</v>
      </c>
      <c r="V851" s="213">
        <v>1337.68</v>
      </c>
      <c r="W851" s="213">
        <v>89.18</v>
      </c>
    </row>
    <row r="852" spans="1:23" s="46" customFormat="1" ht="15" customHeight="1">
      <c r="A852" s="2"/>
      <c r="B852" s="2"/>
      <c r="C852" s="3"/>
      <c r="D852" s="47"/>
      <c r="E852" s="47"/>
      <c r="F852" s="191"/>
      <c r="G852" s="48"/>
      <c r="H852" s="48"/>
      <c r="I852" s="48"/>
      <c r="J852" s="48"/>
      <c r="K852" s="48"/>
      <c r="L852" s="48"/>
      <c r="M852" s="48"/>
      <c r="N852" s="48"/>
      <c r="O852" s="289"/>
      <c r="P852" s="202">
        <v>836</v>
      </c>
      <c r="Q852" s="210">
        <v>10</v>
      </c>
      <c r="R852" s="205" t="s">
        <v>711</v>
      </c>
      <c r="S852" s="206" t="s">
        <v>93</v>
      </c>
      <c r="T852" s="211">
        <v>20000</v>
      </c>
      <c r="U852" s="211">
        <v>2538</v>
      </c>
      <c r="V852" s="213">
        <v>5548</v>
      </c>
      <c r="W852" s="213">
        <v>27.74</v>
      </c>
    </row>
    <row r="853" spans="1:23" ht="15" customHeight="1">
      <c r="D853" s="47" t="s">
        <v>2087</v>
      </c>
      <c r="G853" s="26"/>
      <c r="H853" s="26"/>
      <c r="I853" s="26"/>
      <c r="J853" s="26"/>
      <c r="K853" s="26"/>
      <c r="L853" s="26"/>
      <c r="M853" s="26"/>
      <c r="N853" s="26"/>
      <c r="P853" s="202">
        <v>837</v>
      </c>
      <c r="Q853" s="210">
        <v>10</v>
      </c>
      <c r="R853" s="205" t="s">
        <v>712</v>
      </c>
      <c r="S853" s="206" t="s">
        <v>95</v>
      </c>
      <c r="T853" s="211">
        <v>0</v>
      </c>
      <c r="U853" s="211">
        <v>0</v>
      </c>
      <c r="V853" s="213">
        <v>0</v>
      </c>
      <c r="W853" s="213">
        <v>0</v>
      </c>
    </row>
    <row r="854" spans="1:23" ht="15" customHeight="1">
      <c r="G854" s="26"/>
      <c r="H854" s="26"/>
      <c r="I854" s="26"/>
      <c r="J854" s="26"/>
      <c r="K854" s="26"/>
      <c r="L854" s="26"/>
      <c r="M854" s="26"/>
      <c r="N854" s="26"/>
      <c r="P854" s="202">
        <v>838</v>
      </c>
      <c r="Q854" s="210">
        <v>10</v>
      </c>
      <c r="R854" s="205" t="s">
        <v>713</v>
      </c>
      <c r="S854" s="206" t="s">
        <v>97</v>
      </c>
      <c r="T854" s="211">
        <v>505</v>
      </c>
      <c r="U854" s="211">
        <v>10</v>
      </c>
      <c r="V854" s="213">
        <v>69</v>
      </c>
      <c r="W854" s="213">
        <v>13.66</v>
      </c>
    </row>
    <row r="855" spans="1:23" ht="15" customHeight="1">
      <c r="C855" s="3">
        <v>10</v>
      </c>
      <c r="D855" s="15" t="s">
        <v>650</v>
      </c>
      <c r="E855" s="312" t="s">
        <v>137</v>
      </c>
      <c r="G855" s="26">
        <v>4100</v>
      </c>
      <c r="H855" s="26">
        <v>4106</v>
      </c>
      <c r="I855" s="26">
        <v>5093</v>
      </c>
      <c r="J855" s="26">
        <v>6289</v>
      </c>
      <c r="K855" s="26">
        <v>6500</v>
      </c>
      <c r="L855" s="26">
        <v>3055</v>
      </c>
      <c r="M855" s="26">
        <v>6500</v>
      </c>
      <c r="N855" s="26">
        <v>8000</v>
      </c>
      <c r="O855" s="285" t="s">
        <v>2822</v>
      </c>
      <c r="P855" s="202">
        <v>839</v>
      </c>
      <c r="Q855" s="210">
        <v>10</v>
      </c>
      <c r="R855" s="205" t="s">
        <v>714</v>
      </c>
      <c r="S855" s="206" t="s">
        <v>99</v>
      </c>
      <c r="T855" s="211">
        <v>118</v>
      </c>
      <c r="U855" s="211">
        <v>0</v>
      </c>
      <c r="V855" s="213">
        <v>143.1</v>
      </c>
      <c r="W855" s="213">
        <v>121.27</v>
      </c>
    </row>
    <row r="856" spans="1:23" ht="15" customHeight="1">
      <c r="C856" s="3">
        <v>10</v>
      </c>
      <c r="D856" s="15" t="s">
        <v>651</v>
      </c>
      <c r="E856" s="312" t="s">
        <v>216</v>
      </c>
      <c r="G856" s="26">
        <v>0</v>
      </c>
      <c r="H856" s="26">
        <v>0</v>
      </c>
      <c r="I856" s="26">
        <v>0</v>
      </c>
      <c r="J856" s="26">
        <v>1627</v>
      </c>
      <c r="K856" s="26">
        <v>4500</v>
      </c>
      <c r="L856" s="26">
        <v>1786</v>
      </c>
      <c r="M856" s="26">
        <v>4000</v>
      </c>
      <c r="N856" s="26">
        <v>4000</v>
      </c>
      <c r="O856" s="285"/>
      <c r="P856" s="202">
        <v>840</v>
      </c>
      <c r="Q856" s="210">
        <v>10</v>
      </c>
      <c r="R856" s="205" t="s">
        <v>715</v>
      </c>
      <c r="S856" s="206" t="s">
        <v>101</v>
      </c>
      <c r="T856" s="211">
        <v>0</v>
      </c>
      <c r="U856" s="211">
        <v>0</v>
      </c>
      <c r="V856" s="213">
        <v>0</v>
      </c>
      <c r="W856" s="213">
        <v>0</v>
      </c>
    </row>
    <row r="857" spans="1:23" ht="15" customHeight="1">
      <c r="C857" s="3">
        <v>10</v>
      </c>
      <c r="D857" s="15" t="s">
        <v>652</v>
      </c>
      <c r="E857" s="312" t="s">
        <v>139</v>
      </c>
      <c r="G857" s="26">
        <v>3820</v>
      </c>
      <c r="H857" s="26">
        <v>5458</v>
      </c>
      <c r="I857" s="26">
        <v>6424</v>
      </c>
      <c r="J857" s="26">
        <v>12554</v>
      </c>
      <c r="K857" s="26">
        <v>16500</v>
      </c>
      <c r="L857" s="26">
        <v>11259</v>
      </c>
      <c r="M857" s="26">
        <v>16500</v>
      </c>
      <c r="N857" s="26">
        <v>10000</v>
      </c>
      <c r="O857" s="285"/>
      <c r="P857" s="202">
        <v>841</v>
      </c>
      <c r="Q857" s="210">
        <v>10</v>
      </c>
      <c r="R857" s="205" t="s">
        <v>716</v>
      </c>
      <c r="S857" s="206" t="s">
        <v>103</v>
      </c>
      <c r="T857" s="211">
        <v>0</v>
      </c>
      <c r="U857" s="211">
        <v>0</v>
      </c>
      <c r="V857" s="213">
        <v>0</v>
      </c>
      <c r="W857" s="213">
        <v>0</v>
      </c>
    </row>
    <row r="858" spans="1:23" ht="15" customHeight="1">
      <c r="C858" s="3">
        <v>10</v>
      </c>
      <c r="D858" s="15" t="s">
        <v>653</v>
      </c>
      <c r="E858" s="312" t="s">
        <v>654</v>
      </c>
      <c r="G858" s="26">
        <v>0</v>
      </c>
      <c r="H858" s="26">
        <v>-165</v>
      </c>
      <c r="I858" s="26">
        <v>0</v>
      </c>
      <c r="J858" s="26">
        <v>0</v>
      </c>
      <c r="K858" s="26">
        <v>0</v>
      </c>
      <c r="L858" s="26">
        <v>0</v>
      </c>
      <c r="M858" s="26">
        <v>0</v>
      </c>
      <c r="N858" s="26">
        <v>0</v>
      </c>
      <c r="O858" s="285"/>
      <c r="P858" s="202">
        <v>842</v>
      </c>
      <c r="Q858" s="210">
        <v>10</v>
      </c>
      <c r="R858" s="205" t="s">
        <v>2623</v>
      </c>
      <c r="S858" s="206"/>
      <c r="T858" s="211"/>
      <c r="U858" s="211"/>
      <c r="V858" s="213"/>
      <c r="W858" s="213"/>
    </row>
    <row r="859" spans="1:23" ht="15" customHeight="1">
      <c r="C859" s="3">
        <v>10</v>
      </c>
      <c r="D859" s="15" t="s">
        <v>655</v>
      </c>
      <c r="E859" s="312" t="s">
        <v>141</v>
      </c>
      <c r="G859" s="26">
        <v>0</v>
      </c>
      <c r="H859" s="26">
        <v>240</v>
      </c>
      <c r="I859" s="26">
        <v>0</v>
      </c>
      <c r="J859" s="26">
        <v>0</v>
      </c>
      <c r="K859" s="26">
        <v>0</v>
      </c>
      <c r="L859" s="26">
        <v>0</v>
      </c>
      <c r="M859" s="26">
        <v>0</v>
      </c>
      <c r="N859" s="26">
        <v>0</v>
      </c>
      <c r="O859" s="285"/>
      <c r="P859" s="202">
        <v>843</v>
      </c>
      <c r="Q859" s="210">
        <v>10</v>
      </c>
      <c r="R859" s="205" t="s">
        <v>2621</v>
      </c>
      <c r="S859" s="206"/>
      <c r="T859" s="211">
        <v>103682</v>
      </c>
      <c r="U859" s="211">
        <v>12118.47</v>
      </c>
      <c r="V859" s="213">
        <v>80684.42</v>
      </c>
      <c r="W859" s="213">
        <v>0</v>
      </c>
    </row>
    <row r="860" spans="1:23" ht="15" customHeight="1">
      <c r="C860" s="3">
        <v>10</v>
      </c>
      <c r="D860" s="15" t="s">
        <v>656</v>
      </c>
      <c r="E860" s="312" t="s">
        <v>143</v>
      </c>
      <c r="G860" s="26">
        <v>0</v>
      </c>
      <c r="H860" s="26">
        <v>0</v>
      </c>
      <c r="I860" s="26">
        <v>0</v>
      </c>
      <c r="J860" s="26">
        <v>0</v>
      </c>
      <c r="K860" s="26">
        <v>0</v>
      </c>
      <c r="L860" s="26">
        <v>0</v>
      </c>
      <c r="M860" s="26">
        <v>0</v>
      </c>
      <c r="N860" s="26">
        <v>0</v>
      </c>
      <c r="O860" s="285"/>
      <c r="P860" s="202">
        <v>844</v>
      </c>
      <c r="Q860" s="210">
        <v>10</v>
      </c>
      <c r="R860" s="205" t="s">
        <v>104</v>
      </c>
      <c r="S860" s="206"/>
      <c r="T860" s="211"/>
      <c r="U860" s="211"/>
      <c r="V860" s="213"/>
      <c r="W860" s="213"/>
    </row>
    <row r="861" spans="1:23" ht="15" customHeight="1">
      <c r="C861" s="3">
        <v>10</v>
      </c>
      <c r="D861" s="15" t="s">
        <v>657</v>
      </c>
      <c r="E861" s="312" t="s">
        <v>145</v>
      </c>
      <c r="G861" s="26">
        <v>30330</v>
      </c>
      <c r="H861" s="26">
        <v>21297</v>
      </c>
      <c r="I861" s="26">
        <v>14170</v>
      </c>
      <c r="J861" s="26">
        <v>9928</v>
      </c>
      <c r="K861" s="26">
        <v>12500</v>
      </c>
      <c r="L861" s="26">
        <v>4815</v>
      </c>
      <c r="M861" s="26">
        <v>10000</v>
      </c>
      <c r="N861" s="26">
        <v>12500</v>
      </c>
      <c r="O861" s="285"/>
      <c r="P861" s="202">
        <v>845</v>
      </c>
      <c r="Q861" s="210">
        <v>10</v>
      </c>
      <c r="R861" s="205" t="s">
        <v>2624</v>
      </c>
      <c r="S861" s="206"/>
      <c r="T861" s="211"/>
      <c r="U861" s="211"/>
      <c r="V861" s="213"/>
      <c r="W861" s="213"/>
    </row>
    <row r="862" spans="1:23" ht="15" customHeight="1">
      <c r="C862" s="3">
        <v>10</v>
      </c>
      <c r="D862" s="15" t="s">
        <v>658</v>
      </c>
      <c r="E862" s="312" t="s">
        <v>659</v>
      </c>
      <c r="G862" s="26">
        <v>0</v>
      </c>
      <c r="H862" s="26">
        <v>0</v>
      </c>
      <c r="I862" s="26">
        <v>0</v>
      </c>
      <c r="J862" s="26">
        <v>0</v>
      </c>
      <c r="K862" s="26">
        <v>0</v>
      </c>
      <c r="L862" s="26">
        <v>0</v>
      </c>
      <c r="M862" s="26">
        <v>0</v>
      </c>
      <c r="N862" s="26">
        <v>0</v>
      </c>
      <c r="O862" s="285"/>
      <c r="P862" s="202">
        <v>846</v>
      </c>
      <c r="Q862" s="210">
        <v>10</v>
      </c>
      <c r="R862" s="205" t="s">
        <v>717</v>
      </c>
      <c r="S862" s="206" t="s">
        <v>115</v>
      </c>
      <c r="T862" s="211">
        <v>200</v>
      </c>
      <c r="U862" s="211">
        <v>0</v>
      </c>
      <c r="V862" s="213">
        <v>34.659999999999997</v>
      </c>
      <c r="W862" s="213">
        <v>17.329999999999998</v>
      </c>
    </row>
    <row r="863" spans="1:23" ht="15" customHeight="1">
      <c r="C863" s="3">
        <v>10</v>
      </c>
      <c r="D863" s="15" t="s">
        <v>660</v>
      </c>
      <c r="E863" s="312" t="s">
        <v>147</v>
      </c>
      <c r="G863" s="26">
        <v>74</v>
      </c>
      <c r="H863" s="26">
        <v>288</v>
      </c>
      <c r="I863" s="26">
        <v>81</v>
      </c>
      <c r="J863" s="26">
        <v>111</v>
      </c>
      <c r="K863" s="26">
        <v>200</v>
      </c>
      <c r="L863" s="26">
        <v>109</v>
      </c>
      <c r="M863" s="26">
        <v>200</v>
      </c>
      <c r="N863" s="26">
        <v>250</v>
      </c>
      <c r="O863" s="285"/>
      <c r="P863" s="202">
        <v>847</v>
      </c>
      <c r="Q863" s="210">
        <v>10</v>
      </c>
      <c r="R863" s="205" t="s">
        <v>718</v>
      </c>
      <c r="S863" s="206" t="s">
        <v>117</v>
      </c>
      <c r="T863" s="211">
        <v>15</v>
      </c>
      <c r="U863" s="211">
        <v>0</v>
      </c>
      <c r="V863" s="213">
        <v>0</v>
      </c>
      <c r="W863" s="213">
        <v>0</v>
      </c>
    </row>
    <row r="864" spans="1:23" ht="15" customHeight="1">
      <c r="C864" s="3">
        <v>10</v>
      </c>
      <c r="D864" s="15" t="s">
        <v>661</v>
      </c>
      <c r="E864" s="312" t="s">
        <v>149</v>
      </c>
      <c r="G864" s="26">
        <v>161</v>
      </c>
      <c r="H864" s="26">
        <v>29</v>
      </c>
      <c r="I864" s="26">
        <v>299</v>
      </c>
      <c r="J864" s="26">
        <v>72</v>
      </c>
      <c r="K864" s="26">
        <v>300</v>
      </c>
      <c r="L864" s="26">
        <v>0</v>
      </c>
      <c r="M864" s="26">
        <v>300</v>
      </c>
      <c r="N864" s="26">
        <v>300</v>
      </c>
      <c r="O864" s="285"/>
      <c r="P864" s="202">
        <v>848</v>
      </c>
      <c r="Q864" s="210">
        <v>10</v>
      </c>
      <c r="R864" s="205" t="s">
        <v>719</v>
      </c>
      <c r="S864" s="206" t="s">
        <v>119</v>
      </c>
      <c r="T864" s="211">
        <v>0</v>
      </c>
      <c r="U864" s="211">
        <v>0</v>
      </c>
      <c r="V864" s="213">
        <v>1.94</v>
      </c>
      <c r="W864" s="213">
        <v>0</v>
      </c>
    </row>
    <row r="865" spans="1:23" ht="15" customHeight="1">
      <c r="C865" s="3">
        <v>10</v>
      </c>
      <c r="D865" s="15" t="s">
        <v>662</v>
      </c>
      <c r="E865" s="312" t="s">
        <v>151</v>
      </c>
      <c r="G865" s="26">
        <v>703</v>
      </c>
      <c r="H865" s="26">
        <v>1220</v>
      </c>
      <c r="I865" s="26">
        <v>1149</v>
      </c>
      <c r="J865" s="26">
        <v>994</v>
      </c>
      <c r="K865" s="26">
        <v>3500</v>
      </c>
      <c r="L865" s="26">
        <v>3709</v>
      </c>
      <c r="M865" s="26">
        <v>3800</v>
      </c>
      <c r="N865" s="26">
        <v>4500</v>
      </c>
      <c r="O865" s="285" t="s">
        <v>2823</v>
      </c>
      <c r="P865" s="202">
        <v>849</v>
      </c>
      <c r="Q865" s="210">
        <v>10</v>
      </c>
      <c r="R865" s="205" t="s">
        <v>720</v>
      </c>
      <c r="S865" s="206" t="s">
        <v>121</v>
      </c>
      <c r="T865" s="211">
        <v>120</v>
      </c>
      <c r="U865" s="211">
        <v>0</v>
      </c>
      <c r="V865" s="213">
        <v>0</v>
      </c>
      <c r="W865" s="213">
        <v>0</v>
      </c>
    </row>
    <row r="866" spans="1:23" ht="15" customHeight="1">
      <c r="C866" s="3">
        <v>10</v>
      </c>
      <c r="D866" s="15" t="s">
        <v>663</v>
      </c>
      <c r="E866" s="312" t="s">
        <v>153</v>
      </c>
      <c r="G866" s="26">
        <v>5368</v>
      </c>
      <c r="H866" s="26">
        <v>11402</v>
      </c>
      <c r="I866" s="26">
        <v>8980</v>
      </c>
      <c r="J866" s="26">
        <v>10499</v>
      </c>
      <c r="K866" s="26">
        <v>11000</v>
      </c>
      <c r="L866" s="26">
        <v>3661</v>
      </c>
      <c r="M866" s="26">
        <v>11000</v>
      </c>
      <c r="N866" s="26">
        <v>11000</v>
      </c>
      <c r="O866" s="285"/>
      <c r="P866" s="202">
        <v>850</v>
      </c>
      <c r="Q866" s="210">
        <v>10</v>
      </c>
      <c r="R866" s="205" t="s">
        <v>721</v>
      </c>
      <c r="S866" s="206" t="s">
        <v>123</v>
      </c>
      <c r="T866" s="211">
        <v>0</v>
      </c>
      <c r="U866" s="211">
        <v>0</v>
      </c>
      <c r="V866" s="213">
        <v>0</v>
      </c>
      <c r="W866" s="213">
        <v>0</v>
      </c>
    </row>
    <row r="867" spans="1:23" ht="15" customHeight="1">
      <c r="C867" s="3">
        <v>10</v>
      </c>
      <c r="D867" s="15" t="s">
        <v>664</v>
      </c>
      <c r="E867" s="312" t="s">
        <v>155</v>
      </c>
      <c r="G867" s="26">
        <v>-958</v>
      </c>
      <c r="H867" s="26">
        <v>-31</v>
      </c>
      <c r="I867" s="26">
        <v>-185</v>
      </c>
      <c r="J867" s="26">
        <v>-209</v>
      </c>
      <c r="K867" s="26">
        <v>0</v>
      </c>
      <c r="L867" s="26">
        <v>-618</v>
      </c>
      <c r="M867" s="26">
        <v>-618</v>
      </c>
      <c r="N867" s="26">
        <v>0</v>
      </c>
      <c r="O867" s="285"/>
      <c r="P867" s="202">
        <v>851</v>
      </c>
      <c r="Q867" s="210">
        <v>10</v>
      </c>
      <c r="R867" s="205" t="s">
        <v>722</v>
      </c>
      <c r="S867" s="206" t="s">
        <v>125</v>
      </c>
      <c r="T867" s="211">
        <v>0</v>
      </c>
      <c r="U867" s="211">
        <v>0</v>
      </c>
      <c r="V867" s="213">
        <v>0</v>
      </c>
      <c r="W867" s="213">
        <v>0</v>
      </c>
    </row>
    <row r="868" spans="1:23" ht="15" customHeight="1">
      <c r="C868" s="3">
        <v>10</v>
      </c>
      <c r="D868" s="15" t="s">
        <v>665</v>
      </c>
      <c r="E868" s="312" t="s">
        <v>666</v>
      </c>
      <c r="G868" s="26">
        <v>0</v>
      </c>
      <c r="H868" s="26">
        <v>75</v>
      </c>
      <c r="I868" s="26">
        <v>206</v>
      </c>
      <c r="J868" s="26">
        <v>268</v>
      </c>
      <c r="K868" s="26">
        <v>0</v>
      </c>
      <c r="L868" s="26">
        <v>23</v>
      </c>
      <c r="M868" s="26">
        <v>23</v>
      </c>
      <c r="N868" s="26">
        <v>0</v>
      </c>
      <c r="O868" s="285"/>
      <c r="P868" s="202">
        <v>852</v>
      </c>
      <c r="Q868" s="210">
        <v>10</v>
      </c>
      <c r="R868" s="205" t="s">
        <v>723</v>
      </c>
      <c r="S868" s="206" t="s">
        <v>106</v>
      </c>
      <c r="T868" s="211">
        <v>3200</v>
      </c>
      <c r="U868" s="211">
        <v>485.43</v>
      </c>
      <c r="V868" s="213">
        <v>3319.33</v>
      </c>
      <c r="W868" s="213">
        <v>103.73</v>
      </c>
    </row>
    <row r="869" spans="1:23" ht="15" customHeight="1">
      <c r="C869" s="3">
        <v>10</v>
      </c>
      <c r="D869" s="15" t="s">
        <v>667</v>
      </c>
      <c r="E869" s="312" t="s">
        <v>668</v>
      </c>
      <c r="G869" s="26">
        <v>0</v>
      </c>
      <c r="H869" s="26">
        <v>0</v>
      </c>
      <c r="I869" s="26">
        <v>0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85"/>
      <c r="P869" s="202">
        <v>853</v>
      </c>
      <c r="Q869" s="210">
        <v>10</v>
      </c>
      <c r="R869" s="205" t="s">
        <v>724</v>
      </c>
      <c r="S869" s="206" t="s">
        <v>197</v>
      </c>
      <c r="T869" s="211">
        <v>0</v>
      </c>
      <c r="U869" s="211">
        <v>0</v>
      </c>
      <c r="V869" s="213">
        <v>0</v>
      </c>
      <c r="W869" s="213">
        <v>0</v>
      </c>
    </row>
    <row r="870" spans="1:23" ht="15" customHeight="1">
      <c r="C870" s="3">
        <v>10</v>
      </c>
      <c r="D870" s="15" t="s">
        <v>669</v>
      </c>
      <c r="E870" s="312" t="s">
        <v>157</v>
      </c>
      <c r="G870" s="26">
        <v>5007</v>
      </c>
      <c r="H870" s="26">
        <v>5166</v>
      </c>
      <c r="I870" s="26">
        <v>405</v>
      </c>
      <c r="J870" s="26">
        <v>0</v>
      </c>
      <c r="K870" s="26">
        <v>500</v>
      </c>
      <c r="L870" s="26">
        <v>0</v>
      </c>
      <c r="M870" s="26">
        <v>500</v>
      </c>
      <c r="N870" s="26">
        <v>500</v>
      </c>
      <c r="O870" s="285"/>
      <c r="P870" s="202">
        <v>854</v>
      </c>
      <c r="Q870" s="210">
        <v>10</v>
      </c>
      <c r="R870" s="205" t="s">
        <v>725</v>
      </c>
      <c r="S870" s="206" t="s">
        <v>128</v>
      </c>
      <c r="T870" s="211">
        <v>0</v>
      </c>
      <c r="U870" s="211">
        <v>0</v>
      </c>
      <c r="V870" s="213">
        <v>0</v>
      </c>
      <c r="W870" s="213">
        <v>0</v>
      </c>
    </row>
    <row r="871" spans="1:23" ht="15" customHeight="1">
      <c r="C871" s="3">
        <v>10</v>
      </c>
      <c r="D871" s="15" t="s">
        <v>670</v>
      </c>
      <c r="E871" s="312" t="s">
        <v>159</v>
      </c>
      <c r="G871" s="26">
        <v>67377</v>
      </c>
      <c r="H871" s="26">
        <v>40144</v>
      </c>
      <c r="I871" s="26">
        <v>5956</v>
      </c>
      <c r="J871" s="26">
        <v>5956</v>
      </c>
      <c r="K871" s="26">
        <v>31083</v>
      </c>
      <c r="L871" s="26">
        <v>3474</v>
      </c>
      <c r="M871" s="26">
        <v>31083</v>
      </c>
      <c r="N871" s="26">
        <v>44416</v>
      </c>
      <c r="O871" s="285" t="s">
        <v>2854</v>
      </c>
      <c r="P871" s="202">
        <v>855</v>
      </c>
      <c r="Q871" s="210">
        <v>10</v>
      </c>
      <c r="R871" s="205" t="s">
        <v>726</v>
      </c>
      <c r="S871" s="206" t="s">
        <v>200</v>
      </c>
      <c r="T871" s="211">
        <v>1050</v>
      </c>
      <c r="U871" s="211">
        <v>76.099999999999994</v>
      </c>
      <c r="V871" s="213">
        <v>961.21</v>
      </c>
      <c r="W871" s="213">
        <v>91.54</v>
      </c>
    </row>
    <row r="872" spans="1:23" ht="15" customHeight="1">
      <c r="C872" s="3">
        <v>10</v>
      </c>
      <c r="D872" s="15" t="s">
        <v>671</v>
      </c>
      <c r="E872" s="312" t="s">
        <v>229</v>
      </c>
      <c r="G872" s="26">
        <v>3891</v>
      </c>
      <c r="H872" s="26">
        <v>3991</v>
      </c>
      <c r="I872" s="26">
        <v>1328</v>
      </c>
      <c r="J872" s="26">
        <v>1328</v>
      </c>
      <c r="K872" s="26">
        <v>19826</v>
      </c>
      <c r="L872" s="26">
        <v>774</v>
      </c>
      <c r="M872" s="26">
        <v>19826</v>
      </c>
      <c r="N872" s="26">
        <v>19906</v>
      </c>
      <c r="O872" s="285">
        <v>64522</v>
      </c>
      <c r="P872" s="202">
        <v>856</v>
      </c>
      <c r="Q872" s="210">
        <v>10</v>
      </c>
      <c r="R872" s="205" t="s">
        <v>727</v>
      </c>
      <c r="S872" s="206" t="s">
        <v>202</v>
      </c>
      <c r="T872" s="211">
        <v>0</v>
      </c>
      <c r="U872" s="211">
        <v>0</v>
      </c>
      <c r="V872" s="213">
        <v>0</v>
      </c>
      <c r="W872" s="213">
        <v>0</v>
      </c>
    </row>
    <row r="873" spans="1:23" ht="15" customHeight="1">
      <c r="C873" s="3">
        <v>10</v>
      </c>
      <c r="D873" s="15" t="s">
        <v>672</v>
      </c>
      <c r="E873" s="312" t="s">
        <v>162</v>
      </c>
      <c r="G873" s="26">
        <v>81</v>
      </c>
      <c r="H873" s="26">
        <v>182</v>
      </c>
      <c r="I873" s="26">
        <v>0</v>
      </c>
      <c r="J873" s="26">
        <v>70</v>
      </c>
      <c r="K873" s="26">
        <v>100</v>
      </c>
      <c r="L873" s="26">
        <v>0</v>
      </c>
      <c r="M873" s="26">
        <v>100</v>
      </c>
      <c r="N873" s="26">
        <v>100</v>
      </c>
      <c r="O873" s="285"/>
      <c r="P873" s="202">
        <v>857</v>
      </c>
      <c r="Q873" s="210">
        <v>10</v>
      </c>
      <c r="R873" s="205" t="s">
        <v>728</v>
      </c>
      <c r="S873" s="206" t="s">
        <v>130</v>
      </c>
      <c r="T873" s="211">
        <v>300</v>
      </c>
      <c r="U873" s="211">
        <v>61.71</v>
      </c>
      <c r="V873" s="213">
        <v>224.67</v>
      </c>
      <c r="W873" s="213">
        <v>74.89</v>
      </c>
    </row>
    <row r="874" spans="1:23" ht="15" customHeight="1">
      <c r="G874" s="26"/>
      <c r="H874" s="26"/>
      <c r="I874" s="26"/>
      <c r="J874" s="26"/>
      <c r="K874" s="26"/>
      <c r="L874" s="26"/>
      <c r="M874" s="26"/>
      <c r="N874" s="26"/>
      <c r="P874" s="202">
        <v>858</v>
      </c>
      <c r="Q874" s="210">
        <v>10</v>
      </c>
      <c r="R874" s="205" t="s">
        <v>729</v>
      </c>
      <c r="S874" s="206" t="s">
        <v>132</v>
      </c>
      <c r="T874" s="211">
        <v>1500</v>
      </c>
      <c r="U874" s="211">
        <v>131.76</v>
      </c>
      <c r="V874" s="213">
        <v>874.26</v>
      </c>
      <c r="W874" s="213">
        <v>58.28</v>
      </c>
    </row>
    <row r="875" spans="1:23" s="22" customFormat="1" ht="15" customHeight="1">
      <c r="A875" s="2" t="s">
        <v>135</v>
      </c>
      <c r="B875" s="2" t="s">
        <v>2317</v>
      </c>
      <c r="C875" s="3"/>
      <c r="D875" s="323" t="s">
        <v>2088</v>
      </c>
      <c r="E875" s="323"/>
      <c r="F875" s="324"/>
      <c r="G875" s="325">
        <f>SUM(G853:G874)</f>
        <v>119954</v>
      </c>
      <c r="H875" s="325">
        <f t="shared" ref="H875:N875" si="78">SUM(H853:H874)</f>
        <v>93402</v>
      </c>
      <c r="I875" s="325">
        <f t="shared" si="78"/>
        <v>43906</v>
      </c>
      <c r="J875" s="325">
        <f t="shared" si="78"/>
        <v>49487</v>
      </c>
      <c r="K875" s="325">
        <f t="shared" si="78"/>
        <v>106509</v>
      </c>
      <c r="L875" s="325">
        <f t="shared" si="78"/>
        <v>32047</v>
      </c>
      <c r="M875" s="325">
        <f t="shared" si="78"/>
        <v>103214</v>
      </c>
      <c r="N875" s="325">
        <f t="shared" si="78"/>
        <v>115472</v>
      </c>
      <c r="O875" s="290"/>
      <c r="P875" s="202">
        <v>859</v>
      </c>
      <c r="Q875" s="210">
        <v>10</v>
      </c>
      <c r="R875" s="205" t="s">
        <v>730</v>
      </c>
      <c r="S875" s="206" t="s">
        <v>206</v>
      </c>
      <c r="T875" s="211">
        <v>170</v>
      </c>
      <c r="U875" s="211">
        <v>65.78</v>
      </c>
      <c r="V875" s="213">
        <v>148.28</v>
      </c>
      <c r="W875" s="213">
        <v>87.22</v>
      </c>
    </row>
    <row r="876" spans="1:23" s="46" customFormat="1" ht="15" customHeight="1">
      <c r="A876" s="2"/>
      <c r="B876" s="2"/>
      <c r="C876" s="3"/>
      <c r="D876" s="47"/>
      <c r="E876" s="47"/>
      <c r="F876" s="191"/>
      <c r="G876" s="48"/>
      <c r="H876" s="48"/>
      <c r="I876" s="48"/>
      <c r="J876" s="48"/>
      <c r="K876" s="48"/>
      <c r="L876" s="48"/>
      <c r="M876" s="48"/>
      <c r="N876" s="48"/>
      <c r="O876" s="289"/>
      <c r="P876" s="202">
        <v>860</v>
      </c>
      <c r="Q876" s="210">
        <v>10</v>
      </c>
      <c r="R876" s="205" t="s">
        <v>731</v>
      </c>
      <c r="S876" s="206" t="s">
        <v>208</v>
      </c>
      <c r="T876" s="211">
        <v>500</v>
      </c>
      <c r="U876" s="211">
        <v>0</v>
      </c>
      <c r="V876" s="213">
        <v>8.6300000000000008</v>
      </c>
      <c r="W876" s="213">
        <v>1.73</v>
      </c>
    </row>
    <row r="877" spans="1:23" ht="15" customHeight="1">
      <c r="D877" s="47" t="s">
        <v>2089</v>
      </c>
      <c r="G877" s="26"/>
      <c r="H877" s="26"/>
      <c r="I877" s="26"/>
      <c r="J877" s="26"/>
      <c r="K877" s="26"/>
      <c r="L877" s="26"/>
      <c r="M877" s="26"/>
      <c r="N877" s="26"/>
      <c r="P877" s="202">
        <v>861</v>
      </c>
      <c r="Q877" s="210">
        <v>10</v>
      </c>
      <c r="R877" s="205" t="s">
        <v>732</v>
      </c>
      <c r="S877" s="206" t="s">
        <v>210</v>
      </c>
      <c r="T877" s="211">
        <v>300</v>
      </c>
      <c r="U877" s="211">
        <v>0</v>
      </c>
      <c r="V877" s="213">
        <v>151.86000000000001</v>
      </c>
      <c r="W877" s="213">
        <v>50.62</v>
      </c>
    </row>
    <row r="878" spans="1:23" ht="15" customHeight="1">
      <c r="G878" s="26"/>
      <c r="H878" s="26"/>
      <c r="I878" s="26"/>
      <c r="J878" s="26"/>
      <c r="K878" s="26"/>
      <c r="L878" s="26"/>
      <c r="M878" s="26"/>
      <c r="N878" s="26"/>
      <c r="P878" s="202">
        <v>862</v>
      </c>
      <c r="Q878" s="210">
        <v>10</v>
      </c>
      <c r="R878" s="205" t="s">
        <v>733</v>
      </c>
      <c r="S878" s="206" t="s">
        <v>134</v>
      </c>
      <c r="T878" s="211">
        <v>0</v>
      </c>
      <c r="U878" s="211">
        <v>0</v>
      </c>
      <c r="V878" s="213">
        <v>0</v>
      </c>
      <c r="W878" s="213">
        <v>0</v>
      </c>
    </row>
    <row r="879" spans="1:23" ht="15" customHeight="1">
      <c r="C879" s="3">
        <v>10</v>
      </c>
      <c r="D879" s="15" t="s">
        <v>673</v>
      </c>
      <c r="E879" s="312" t="s">
        <v>433</v>
      </c>
      <c r="G879" s="26">
        <v>1107</v>
      </c>
      <c r="H879" s="26">
        <v>0</v>
      </c>
      <c r="I879" s="26">
        <v>0</v>
      </c>
      <c r="J879" s="26">
        <v>0</v>
      </c>
      <c r="K879" s="26">
        <v>0</v>
      </c>
      <c r="L879" s="26">
        <v>0</v>
      </c>
      <c r="M879" s="26">
        <v>0</v>
      </c>
      <c r="N879" s="26">
        <v>0</v>
      </c>
      <c r="O879" s="285"/>
      <c r="P879" s="202">
        <v>863</v>
      </c>
      <c r="Q879" s="210">
        <v>10</v>
      </c>
      <c r="R879" s="205" t="s">
        <v>734</v>
      </c>
      <c r="S879" s="206" t="s">
        <v>213</v>
      </c>
      <c r="T879" s="211">
        <v>2500</v>
      </c>
      <c r="U879" s="211">
        <v>0</v>
      </c>
      <c r="V879" s="213">
        <v>523.22</v>
      </c>
      <c r="W879" s="213">
        <v>20.93</v>
      </c>
    </row>
    <row r="880" spans="1:23" ht="15" customHeight="1">
      <c r="C880" s="3">
        <v>10</v>
      </c>
      <c r="D880" s="15" t="s">
        <v>674</v>
      </c>
      <c r="E880" s="312" t="s">
        <v>435</v>
      </c>
      <c r="G880" s="26">
        <v>0</v>
      </c>
      <c r="H880" s="26">
        <v>0</v>
      </c>
      <c r="I880" s="26">
        <v>150</v>
      </c>
      <c r="J880" s="26">
        <v>900</v>
      </c>
      <c r="K880" s="26">
        <v>1000</v>
      </c>
      <c r="L880" s="26">
        <v>2</v>
      </c>
      <c r="M880" s="26">
        <v>150</v>
      </c>
      <c r="N880" s="26">
        <v>0</v>
      </c>
      <c r="O880" s="285"/>
      <c r="P880" s="202">
        <v>864</v>
      </c>
      <c r="Q880" s="210">
        <v>10</v>
      </c>
      <c r="R880" s="205" t="s">
        <v>2623</v>
      </c>
      <c r="S880" s="206"/>
      <c r="T880" s="211"/>
      <c r="U880" s="211"/>
      <c r="V880" s="213"/>
      <c r="W880" s="213"/>
    </row>
    <row r="881" spans="1:23" ht="15" customHeight="1">
      <c r="C881" s="3">
        <v>10</v>
      </c>
      <c r="D881" s="15" t="s">
        <v>675</v>
      </c>
      <c r="E881" s="312" t="s">
        <v>232</v>
      </c>
      <c r="G881" s="26">
        <v>1394</v>
      </c>
      <c r="H881" s="26">
        <v>2362</v>
      </c>
      <c r="I881" s="26">
        <v>2075</v>
      </c>
      <c r="J881" s="26">
        <v>11502</v>
      </c>
      <c r="K881" s="26">
        <v>2000</v>
      </c>
      <c r="L881" s="26">
        <v>5752</v>
      </c>
      <c r="M881" s="26">
        <v>8000</v>
      </c>
      <c r="N881" s="26">
        <v>3000</v>
      </c>
      <c r="O881" s="285" t="s">
        <v>2930</v>
      </c>
      <c r="P881" s="202">
        <v>865</v>
      </c>
      <c r="Q881" s="210">
        <v>10</v>
      </c>
      <c r="R881" s="205" t="s">
        <v>104</v>
      </c>
      <c r="S881" s="206"/>
      <c r="T881" s="211">
        <v>9855</v>
      </c>
      <c r="U881" s="211">
        <v>820.78</v>
      </c>
      <c r="V881" s="213">
        <v>6248.06</v>
      </c>
      <c r="W881" s="213">
        <v>0</v>
      </c>
    </row>
    <row r="882" spans="1:23" ht="15" customHeight="1">
      <c r="C882" s="3">
        <v>10</v>
      </c>
      <c r="D882" s="15" t="s">
        <v>676</v>
      </c>
      <c r="E882" s="312" t="s">
        <v>329</v>
      </c>
      <c r="G882" s="26">
        <v>747</v>
      </c>
      <c r="H882" s="26">
        <v>240</v>
      </c>
      <c r="I882" s="26">
        <v>0</v>
      </c>
      <c r="J882" s="26">
        <v>0</v>
      </c>
      <c r="K882" s="26">
        <v>0</v>
      </c>
      <c r="L882" s="26">
        <v>0</v>
      </c>
      <c r="M882" s="26">
        <v>0</v>
      </c>
      <c r="N882" s="26">
        <v>0</v>
      </c>
      <c r="O882" s="285"/>
      <c r="P882" s="202">
        <v>866</v>
      </c>
      <c r="Q882" s="210">
        <v>10</v>
      </c>
      <c r="R882" s="205" t="s">
        <v>135</v>
      </c>
      <c r="S882" s="206"/>
      <c r="T882" s="211"/>
      <c r="U882" s="211"/>
      <c r="V882" s="213"/>
      <c r="W882" s="213"/>
    </row>
    <row r="883" spans="1:23" ht="15" customHeight="1">
      <c r="C883" s="3">
        <v>10</v>
      </c>
      <c r="D883" s="15" t="s">
        <v>677</v>
      </c>
      <c r="E883" s="312" t="s">
        <v>165</v>
      </c>
      <c r="G883" s="26">
        <v>1490</v>
      </c>
      <c r="H883" s="26">
        <v>605</v>
      </c>
      <c r="I883" s="26">
        <v>1078</v>
      </c>
      <c r="J883" s="26">
        <v>1246</v>
      </c>
      <c r="K883" s="26">
        <v>1500</v>
      </c>
      <c r="L883" s="26">
        <v>801</v>
      </c>
      <c r="M883" s="26">
        <v>1500</v>
      </c>
      <c r="N883" s="26">
        <v>1500</v>
      </c>
      <c r="O883" s="285"/>
      <c r="P883" s="202">
        <v>867</v>
      </c>
      <c r="Q883" s="210">
        <v>10</v>
      </c>
      <c r="R883" s="205" t="s">
        <v>2626</v>
      </c>
      <c r="S883" s="206"/>
      <c r="T883" s="211"/>
      <c r="U883" s="211"/>
      <c r="V883" s="213"/>
      <c r="W883" s="213"/>
    </row>
    <row r="884" spans="1:23" ht="15" customHeight="1">
      <c r="C884" s="3">
        <v>10</v>
      </c>
      <c r="D884" s="15" t="s">
        <v>678</v>
      </c>
      <c r="E884" s="312" t="s">
        <v>167</v>
      </c>
      <c r="G884" s="26">
        <v>4674</v>
      </c>
      <c r="H884" s="26">
        <v>1821</v>
      </c>
      <c r="I884" s="26">
        <v>863</v>
      </c>
      <c r="J884" s="26">
        <v>535</v>
      </c>
      <c r="K884" s="26">
        <v>1000</v>
      </c>
      <c r="L884" s="26">
        <v>507</v>
      </c>
      <c r="M884" s="26">
        <v>1000</v>
      </c>
      <c r="N884" s="26">
        <v>1000</v>
      </c>
      <c r="O884" s="285"/>
      <c r="P884" s="202">
        <v>868</v>
      </c>
      <c r="Q884" s="210">
        <v>10</v>
      </c>
      <c r="R884" s="205" t="s">
        <v>735</v>
      </c>
      <c r="S884" s="206" t="s">
        <v>137</v>
      </c>
      <c r="T884" s="211">
        <v>450</v>
      </c>
      <c r="U884" s="211">
        <v>31.59</v>
      </c>
      <c r="V884" s="213">
        <v>274.41000000000003</v>
      </c>
      <c r="W884" s="213">
        <v>60.98</v>
      </c>
    </row>
    <row r="885" spans="1:23" ht="15" customHeight="1">
      <c r="C885" s="3">
        <v>10</v>
      </c>
      <c r="D885" s="15" t="s">
        <v>679</v>
      </c>
      <c r="E885" s="312" t="s">
        <v>169</v>
      </c>
      <c r="G885" s="26">
        <v>29437</v>
      </c>
      <c r="H885" s="26">
        <v>4920</v>
      </c>
      <c r="I885" s="26">
        <v>7190</v>
      </c>
      <c r="J885" s="26">
        <v>6070</v>
      </c>
      <c r="K885" s="26">
        <v>5200</v>
      </c>
      <c r="L885" s="26">
        <v>3131</v>
      </c>
      <c r="M885" s="26">
        <v>5200</v>
      </c>
      <c r="N885" s="26">
        <v>5200</v>
      </c>
      <c r="O885" s="285"/>
      <c r="P885" s="202">
        <v>869</v>
      </c>
      <c r="Q885" s="210">
        <v>10</v>
      </c>
      <c r="R885" s="205" t="s">
        <v>736</v>
      </c>
      <c r="S885" s="206" t="s">
        <v>216</v>
      </c>
      <c r="T885" s="211">
        <v>0</v>
      </c>
      <c r="U885" s="211">
        <v>0</v>
      </c>
      <c r="V885" s="213">
        <v>0</v>
      </c>
      <c r="W885" s="213">
        <v>0</v>
      </c>
    </row>
    <row r="886" spans="1:23" ht="15" customHeight="1">
      <c r="C886" s="3">
        <v>10</v>
      </c>
      <c r="D886" s="15" t="s">
        <v>680</v>
      </c>
      <c r="E886" s="312" t="s">
        <v>171</v>
      </c>
      <c r="G886" s="26">
        <v>2540</v>
      </c>
      <c r="H886" s="26">
        <v>8704</v>
      </c>
      <c r="I886" s="26">
        <v>8179</v>
      </c>
      <c r="J886" s="26">
        <v>30804</v>
      </c>
      <c r="K886" s="26">
        <v>6000</v>
      </c>
      <c r="L886" s="26">
        <v>5845</v>
      </c>
      <c r="M886" s="26">
        <v>6500</v>
      </c>
      <c r="N886" s="26">
        <v>6000</v>
      </c>
      <c r="O886" s="285"/>
      <c r="P886" s="202">
        <v>870</v>
      </c>
      <c r="Q886" s="210">
        <v>10</v>
      </c>
      <c r="R886" s="205" t="s">
        <v>737</v>
      </c>
      <c r="S886" s="206" t="s">
        <v>139</v>
      </c>
      <c r="T886" s="211">
        <v>300</v>
      </c>
      <c r="U886" s="211">
        <v>0</v>
      </c>
      <c r="V886" s="213">
        <v>35.39</v>
      </c>
      <c r="W886" s="213">
        <v>11.8</v>
      </c>
    </row>
    <row r="887" spans="1:23" ht="15" customHeight="1">
      <c r="C887" s="3">
        <v>10</v>
      </c>
      <c r="D887" s="15" t="s">
        <v>681</v>
      </c>
      <c r="E887" s="312" t="s">
        <v>682</v>
      </c>
      <c r="G887" s="26">
        <v>3952</v>
      </c>
      <c r="H887" s="26">
        <v>0</v>
      </c>
      <c r="I887" s="26">
        <v>0</v>
      </c>
      <c r="J887" s="26">
        <v>-68</v>
      </c>
      <c r="K887" s="26">
        <v>0</v>
      </c>
      <c r="L887" s="26">
        <v>-548</v>
      </c>
      <c r="M887" s="26">
        <v>-548</v>
      </c>
      <c r="N887" s="26">
        <v>0</v>
      </c>
      <c r="O887" s="285"/>
      <c r="P887" s="202">
        <v>871</v>
      </c>
      <c r="Q887" s="210">
        <v>10</v>
      </c>
      <c r="R887" s="205" t="s">
        <v>738</v>
      </c>
      <c r="S887" s="206" t="s">
        <v>141</v>
      </c>
      <c r="T887" s="211">
        <v>0</v>
      </c>
      <c r="U887" s="211">
        <v>0</v>
      </c>
      <c r="V887" s="213">
        <v>0</v>
      </c>
      <c r="W887" s="213">
        <v>0</v>
      </c>
    </row>
    <row r="888" spans="1:23" ht="15" customHeight="1">
      <c r="C888" s="3">
        <v>10</v>
      </c>
      <c r="D888" s="15" t="s">
        <v>683</v>
      </c>
      <c r="E888" s="312" t="s">
        <v>684</v>
      </c>
      <c r="G888" s="26">
        <v>542</v>
      </c>
      <c r="H888" s="26">
        <v>0</v>
      </c>
      <c r="I888" s="26">
        <v>0</v>
      </c>
      <c r="J888" s="26">
        <v>-133</v>
      </c>
      <c r="K888" s="26">
        <v>0</v>
      </c>
      <c r="L888" s="26">
        <v>0</v>
      </c>
      <c r="M888" s="26">
        <v>0</v>
      </c>
      <c r="N888" s="26">
        <v>0</v>
      </c>
      <c r="O888" s="285"/>
      <c r="P888" s="202">
        <v>872</v>
      </c>
      <c r="Q888" s="210">
        <v>10</v>
      </c>
      <c r="R888" s="205" t="s">
        <v>739</v>
      </c>
      <c r="S888" s="206" t="s">
        <v>143</v>
      </c>
      <c r="T888" s="211">
        <v>0</v>
      </c>
      <c r="U888" s="211">
        <v>0</v>
      </c>
      <c r="V888" s="213">
        <v>0</v>
      </c>
      <c r="W888" s="213">
        <v>0</v>
      </c>
    </row>
    <row r="889" spans="1:23" ht="15" customHeight="1">
      <c r="C889" s="3">
        <v>10</v>
      </c>
      <c r="D889" s="15" t="s">
        <v>685</v>
      </c>
      <c r="E889" s="312" t="s">
        <v>686</v>
      </c>
      <c r="G889" s="26">
        <v>1369</v>
      </c>
      <c r="H889" s="26">
        <v>-151</v>
      </c>
      <c r="I889" s="26">
        <v>0</v>
      </c>
      <c r="J889" s="26">
        <v>-17</v>
      </c>
      <c r="K889" s="26">
        <v>0</v>
      </c>
      <c r="L889" s="26">
        <v>0</v>
      </c>
      <c r="M889" s="26">
        <v>0</v>
      </c>
      <c r="N889" s="26">
        <v>0</v>
      </c>
      <c r="O889" s="285"/>
      <c r="P889" s="202">
        <v>873</v>
      </c>
      <c r="Q889" s="210">
        <v>10</v>
      </c>
      <c r="R889" s="205" t="s">
        <v>740</v>
      </c>
      <c r="S889" s="206" t="s">
        <v>145</v>
      </c>
      <c r="T889" s="211">
        <v>5500</v>
      </c>
      <c r="U889" s="211">
        <v>399.92</v>
      </c>
      <c r="V889" s="213">
        <v>3117.95</v>
      </c>
      <c r="W889" s="213">
        <v>56.69</v>
      </c>
    </row>
    <row r="890" spans="1:23" ht="15" customHeight="1">
      <c r="C890" s="3">
        <v>10</v>
      </c>
      <c r="D890" s="15" t="s">
        <v>687</v>
      </c>
      <c r="E890" s="312" t="s">
        <v>173</v>
      </c>
      <c r="G890" s="26">
        <v>1684</v>
      </c>
      <c r="H890" s="26">
        <v>471</v>
      </c>
      <c r="I890" s="26">
        <v>266</v>
      </c>
      <c r="J890" s="26">
        <v>209</v>
      </c>
      <c r="K890" s="26">
        <v>200</v>
      </c>
      <c r="L890" s="26">
        <v>16</v>
      </c>
      <c r="M890" s="26">
        <v>200</v>
      </c>
      <c r="N890" s="26">
        <v>200</v>
      </c>
      <c r="O890" s="285"/>
      <c r="P890" s="202">
        <v>874</v>
      </c>
      <c r="Q890" s="210">
        <v>10</v>
      </c>
      <c r="R890" s="205" t="s">
        <v>741</v>
      </c>
      <c r="S890" s="206" t="s">
        <v>147</v>
      </c>
      <c r="T890" s="211">
        <v>0</v>
      </c>
      <c r="U890" s="211">
        <v>0</v>
      </c>
      <c r="V890" s="213">
        <v>0</v>
      </c>
      <c r="W890" s="213">
        <v>0</v>
      </c>
    </row>
    <row r="891" spans="1:23" ht="15" customHeight="1">
      <c r="C891" s="3">
        <v>10</v>
      </c>
      <c r="D891" s="15" t="s">
        <v>688</v>
      </c>
      <c r="E891" s="312" t="s">
        <v>175</v>
      </c>
      <c r="G891" s="26">
        <v>0</v>
      </c>
      <c r="H891" s="26">
        <v>0</v>
      </c>
      <c r="I891" s="26">
        <v>0</v>
      </c>
      <c r="J891" s="26">
        <v>0</v>
      </c>
      <c r="K891" s="26">
        <v>0</v>
      </c>
      <c r="L891" s="26">
        <v>0</v>
      </c>
      <c r="M891" s="26">
        <v>0</v>
      </c>
      <c r="N891" s="26">
        <v>0</v>
      </c>
      <c r="O891" s="285"/>
      <c r="P891" s="202">
        <v>875</v>
      </c>
      <c r="Q891" s="210">
        <v>10</v>
      </c>
      <c r="R891" s="205" t="s">
        <v>742</v>
      </c>
      <c r="S891" s="206" t="s">
        <v>149</v>
      </c>
      <c r="T891" s="211">
        <v>200</v>
      </c>
      <c r="U891" s="211">
        <v>25.56</v>
      </c>
      <c r="V891" s="213">
        <v>25.56</v>
      </c>
      <c r="W891" s="213">
        <v>12.78</v>
      </c>
    </row>
    <row r="892" spans="1:23" ht="15" customHeight="1">
      <c r="C892" s="3">
        <v>10</v>
      </c>
      <c r="D892" s="15" t="s">
        <v>689</v>
      </c>
      <c r="E892" s="312" t="s">
        <v>690</v>
      </c>
      <c r="G892" s="26">
        <v>0</v>
      </c>
      <c r="H892" s="26">
        <v>21</v>
      </c>
      <c r="I892" s="26">
        <v>880</v>
      </c>
      <c r="J892" s="26">
        <v>1812</v>
      </c>
      <c r="K892" s="26">
        <v>1000</v>
      </c>
      <c r="L892" s="26">
        <v>812</v>
      </c>
      <c r="M892" s="26">
        <v>1000</v>
      </c>
      <c r="N892" s="26">
        <v>1000</v>
      </c>
      <c r="O892" s="285"/>
      <c r="P892" s="202">
        <v>876</v>
      </c>
      <c r="Q892" s="210">
        <v>10</v>
      </c>
      <c r="R892" s="205" t="s">
        <v>743</v>
      </c>
      <c r="S892" s="206" t="s">
        <v>151</v>
      </c>
      <c r="T892" s="211">
        <v>0</v>
      </c>
      <c r="U892" s="211">
        <v>0</v>
      </c>
      <c r="V892" s="213">
        <v>0</v>
      </c>
      <c r="W892" s="213">
        <v>0</v>
      </c>
    </row>
    <row r="893" spans="1:23" ht="15" customHeight="1">
      <c r="C893" s="3">
        <v>10</v>
      </c>
      <c r="D893" s="15" t="s">
        <v>691</v>
      </c>
      <c r="E893" s="312" t="s">
        <v>244</v>
      </c>
      <c r="G893" s="26">
        <v>251</v>
      </c>
      <c r="H893" s="26">
        <v>35</v>
      </c>
      <c r="I893" s="26">
        <v>150</v>
      </c>
      <c r="J893" s="26">
        <v>4</v>
      </c>
      <c r="K893" s="26">
        <v>500</v>
      </c>
      <c r="L893" s="26">
        <v>0</v>
      </c>
      <c r="M893" s="26">
        <v>500</v>
      </c>
      <c r="N893" s="26">
        <v>0</v>
      </c>
      <c r="O893" s="285"/>
      <c r="P893" s="202">
        <v>877</v>
      </c>
      <c r="Q893" s="210">
        <v>10</v>
      </c>
      <c r="R893" s="205" t="s">
        <v>744</v>
      </c>
      <c r="S893" s="206" t="s">
        <v>153</v>
      </c>
      <c r="T893" s="211">
        <v>0</v>
      </c>
      <c r="U893" s="211">
        <v>0</v>
      </c>
      <c r="V893" s="213">
        <v>0</v>
      </c>
      <c r="W893" s="213">
        <v>0</v>
      </c>
    </row>
    <row r="894" spans="1:23" ht="15" customHeight="1">
      <c r="G894" s="26"/>
      <c r="H894" s="26"/>
      <c r="I894" s="26"/>
      <c r="J894" s="26"/>
      <c r="K894" s="26"/>
      <c r="L894" s="26"/>
      <c r="M894" s="26"/>
      <c r="N894" s="26"/>
      <c r="P894" s="202">
        <v>878</v>
      </c>
      <c r="Q894" s="210">
        <v>10</v>
      </c>
      <c r="R894" s="205" t="s">
        <v>745</v>
      </c>
      <c r="S894" s="206" t="s">
        <v>157</v>
      </c>
      <c r="T894" s="211">
        <v>0</v>
      </c>
      <c r="U894" s="211">
        <v>0</v>
      </c>
      <c r="V894" s="213">
        <v>0</v>
      </c>
      <c r="W894" s="213">
        <v>0</v>
      </c>
    </row>
    <row r="895" spans="1:23" s="23" customFormat="1" ht="15" customHeight="1">
      <c r="A895" s="2" t="s">
        <v>163</v>
      </c>
      <c r="B895" s="2" t="s">
        <v>2317</v>
      </c>
      <c r="C895" s="3"/>
      <c r="D895" s="323" t="s">
        <v>2090</v>
      </c>
      <c r="E895" s="323"/>
      <c r="F895" s="324"/>
      <c r="G895" s="325">
        <f>SUM(G877:G894)</f>
        <v>49187</v>
      </c>
      <c r="H895" s="325">
        <f t="shared" ref="H895:N895" si="79">SUM(H877:H894)</f>
        <v>19028</v>
      </c>
      <c r="I895" s="325">
        <f t="shared" si="79"/>
        <v>20831</v>
      </c>
      <c r="J895" s="325">
        <f t="shared" si="79"/>
        <v>52864</v>
      </c>
      <c r="K895" s="325">
        <f t="shared" si="79"/>
        <v>18400</v>
      </c>
      <c r="L895" s="325">
        <f t="shared" si="79"/>
        <v>16318</v>
      </c>
      <c r="M895" s="325">
        <f t="shared" si="79"/>
        <v>23502</v>
      </c>
      <c r="N895" s="325">
        <f t="shared" si="79"/>
        <v>17900</v>
      </c>
      <c r="O895" s="291"/>
      <c r="P895" s="202">
        <v>879</v>
      </c>
      <c r="Q895" s="210">
        <v>10</v>
      </c>
      <c r="R895" s="205" t="s">
        <v>746</v>
      </c>
      <c r="S895" s="206" t="s">
        <v>159</v>
      </c>
      <c r="T895" s="211">
        <v>0</v>
      </c>
      <c r="U895" s="211">
        <v>0</v>
      </c>
      <c r="V895" s="213">
        <v>0</v>
      </c>
      <c r="W895" s="213">
        <v>0</v>
      </c>
    </row>
    <row r="896" spans="1:23" s="46" customFormat="1" ht="15" customHeight="1">
      <c r="A896" s="2"/>
      <c r="B896" s="2"/>
      <c r="C896" s="3"/>
      <c r="D896" s="47"/>
      <c r="E896" s="47"/>
      <c r="F896" s="191"/>
      <c r="G896" s="48"/>
      <c r="H896" s="48"/>
      <c r="I896" s="48"/>
      <c r="J896" s="48"/>
      <c r="K896" s="48"/>
      <c r="L896" s="48"/>
      <c r="M896" s="48"/>
      <c r="N896" s="48"/>
      <c r="O896" s="289"/>
      <c r="P896" s="202">
        <v>880</v>
      </c>
      <c r="Q896" s="210">
        <v>10</v>
      </c>
      <c r="R896" s="205" t="s">
        <v>747</v>
      </c>
      <c r="S896" s="206" t="s">
        <v>162</v>
      </c>
      <c r="T896" s="211">
        <v>0</v>
      </c>
      <c r="U896" s="211">
        <v>38.08</v>
      </c>
      <c r="V896" s="213">
        <v>38.08</v>
      </c>
      <c r="W896" s="213">
        <v>0</v>
      </c>
    </row>
    <row r="897" spans="1:23" ht="15" customHeight="1">
      <c r="D897" s="47" t="s">
        <v>2091</v>
      </c>
      <c r="G897" s="26"/>
      <c r="H897" s="26"/>
      <c r="I897" s="26"/>
      <c r="J897" s="26"/>
      <c r="K897" s="26"/>
      <c r="L897" s="26"/>
      <c r="M897" s="26"/>
      <c r="N897" s="26"/>
      <c r="P897" s="202">
        <v>881</v>
      </c>
      <c r="Q897" s="210">
        <v>10</v>
      </c>
      <c r="R897" s="205" t="s">
        <v>2623</v>
      </c>
      <c r="S897" s="206"/>
      <c r="T897" s="211"/>
      <c r="U897" s="211"/>
      <c r="V897" s="213"/>
      <c r="W897" s="213"/>
    </row>
    <row r="898" spans="1:23" ht="15" customHeight="1">
      <c r="G898" s="26"/>
      <c r="H898" s="26"/>
      <c r="I898" s="26"/>
      <c r="J898" s="26"/>
      <c r="K898" s="26"/>
      <c r="L898" s="26"/>
      <c r="M898" s="26"/>
      <c r="N898" s="26"/>
      <c r="P898" s="202">
        <v>882</v>
      </c>
      <c r="Q898" s="210">
        <v>10</v>
      </c>
      <c r="R898" s="205" t="s">
        <v>135</v>
      </c>
      <c r="S898" s="206"/>
      <c r="T898" s="211">
        <v>6450</v>
      </c>
      <c r="U898" s="211">
        <v>495.15</v>
      </c>
      <c r="V898" s="213">
        <v>3491.39</v>
      </c>
      <c r="W898" s="213">
        <v>0</v>
      </c>
    </row>
    <row r="899" spans="1:23" ht="15" customHeight="1">
      <c r="C899" s="3">
        <v>10</v>
      </c>
      <c r="D899" s="15" t="s">
        <v>692</v>
      </c>
      <c r="E899" s="312" t="s">
        <v>435</v>
      </c>
      <c r="G899" s="26">
        <v>0</v>
      </c>
      <c r="H899" s="26">
        <v>0</v>
      </c>
      <c r="I899" s="26">
        <v>0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85"/>
      <c r="P899" s="202">
        <v>883</v>
      </c>
      <c r="Q899" s="210">
        <v>10</v>
      </c>
      <c r="R899" s="205" t="s">
        <v>163</v>
      </c>
      <c r="S899" s="206"/>
      <c r="T899" s="211"/>
      <c r="U899" s="211"/>
      <c r="V899" s="213"/>
      <c r="W899" s="213"/>
    </row>
    <row r="900" spans="1:23" ht="15" customHeight="1">
      <c r="C900" s="3">
        <v>10</v>
      </c>
      <c r="D900" s="15" t="s">
        <v>693</v>
      </c>
      <c r="E900" s="312" t="s">
        <v>200</v>
      </c>
      <c r="G900" s="26">
        <v>0</v>
      </c>
      <c r="H900" s="26">
        <v>2700</v>
      </c>
      <c r="I900" s="26">
        <v>3433</v>
      </c>
      <c r="J900" s="26">
        <v>5706</v>
      </c>
      <c r="K900" s="26">
        <v>5600</v>
      </c>
      <c r="L900" s="26">
        <v>4349</v>
      </c>
      <c r="M900" s="26">
        <v>5600</v>
      </c>
      <c r="N900" s="26">
        <v>5500</v>
      </c>
      <c r="O900" s="285" t="s">
        <v>2824</v>
      </c>
      <c r="P900" s="202">
        <v>884</v>
      </c>
      <c r="Q900" s="210">
        <v>10</v>
      </c>
      <c r="R900" s="205" t="s">
        <v>2627</v>
      </c>
      <c r="S900" s="206"/>
      <c r="T900" s="211"/>
      <c r="U900" s="211"/>
      <c r="V900" s="213"/>
      <c r="W900" s="213"/>
    </row>
    <row r="901" spans="1:23" ht="15" customHeight="1">
      <c r="C901" s="3">
        <v>10</v>
      </c>
      <c r="D901" s="15" t="s">
        <v>694</v>
      </c>
      <c r="E901" s="312" t="s">
        <v>329</v>
      </c>
      <c r="G901" s="26">
        <v>-8238</v>
      </c>
      <c r="H901" s="26">
        <v>1275</v>
      </c>
      <c r="I901" s="26">
        <v>10431</v>
      </c>
      <c r="J901" s="26">
        <v>0</v>
      </c>
      <c r="K901" s="26">
        <v>0</v>
      </c>
      <c r="L901" s="26">
        <v>0</v>
      </c>
      <c r="M901" s="26">
        <v>0</v>
      </c>
      <c r="N901" s="26">
        <v>0</v>
      </c>
      <c r="O901" s="285"/>
      <c r="P901" s="202">
        <v>885</v>
      </c>
      <c r="Q901" s="210">
        <v>10</v>
      </c>
      <c r="R901" s="205" t="s">
        <v>748</v>
      </c>
      <c r="S901" s="206" t="s">
        <v>433</v>
      </c>
      <c r="T901" s="211">
        <v>1000</v>
      </c>
      <c r="U901" s="211">
        <v>0</v>
      </c>
      <c r="V901" s="213">
        <v>0</v>
      </c>
      <c r="W901" s="213">
        <v>0</v>
      </c>
    </row>
    <row r="902" spans="1:23" ht="15" customHeight="1">
      <c r="C902" s="3">
        <v>10</v>
      </c>
      <c r="D902" s="15" t="s">
        <v>695</v>
      </c>
      <c r="E902" s="312" t="s">
        <v>165</v>
      </c>
      <c r="G902" s="26">
        <v>7</v>
      </c>
      <c r="H902" s="26">
        <v>0</v>
      </c>
      <c r="I902" s="26">
        <v>0</v>
      </c>
      <c r="J902" s="26">
        <v>0</v>
      </c>
      <c r="K902" s="26">
        <v>0</v>
      </c>
      <c r="L902" s="26">
        <v>0</v>
      </c>
      <c r="M902" s="26">
        <v>0</v>
      </c>
      <c r="N902" s="26">
        <v>0</v>
      </c>
      <c r="O902" s="285"/>
      <c r="P902" s="202">
        <v>886</v>
      </c>
      <c r="Q902" s="210">
        <v>10</v>
      </c>
      <c r="R902" s="205" t="s">
        <v>749</v>
      </c>
      <c r="S902" s="206" t="s">
        <v>435</v>
      </c>
      <c r="T902" s="211">
        <v>0</v>
      </c>
      <c r="U902" s="211">
        <v>0</v>
      </c>
      <c r="V902" s="213">
        <v>0</v>
      </c>
      <c r="W902" s="213">
        <v>0</v>
      </c>
    </row>
    <row r="903" spans="1:23" ht="15" customHeight="1">
      <c r="C903" s="3">
        <v>10</v>
      </c>
      <c r="D903" s="15" t="s">
        <v>696</v>
      </c>
      <c r="E903" s="312" t="s">
        <v>167</v>
      </c>
      <c r="G903" s="26">
        <v>5678</v>
      </c>
      <c r="H903" s="26">
        <v>12482</v>
      </c>
      <c r="I903" s="26">
        <v>7125</v>
      </c>
      <c r="J903" s="26">
        <v>5986</v>
      </c>
      <c r="K903" s="26">
        <v>0</v>
      </c>
      <c r="L903" s="26">
        <v>0</v>
      </c>
      <c r="M903" s="26">
        <v>0</v>
      </c>
      <c r="N903" s="26">
        <v>0</v>
      </c>
      <c r="O903" s="285"/>
      <c r="P903" s="202">
        <v>887</v>
      </c>
      <c r="Q903" s="210">
        <v>10</v>
      </c>
      <c r="R903" s="205" t="s">
        <v>750</v>
      </c>
      <c r="S903" s="206" t="s">
        <v>232</v>
      </c>
      <c r="T903" s="211">
        <v>0</v>
      </c>
      <c r="U903" s="211">
        <v>25</v>
      </c>
      <c r="V903" s="213">
        <v>75</v>
      </c>
      <c r="W903" s="213">
        <v>0</v>
      </c>
    </row>
    <row r="904" spans="1:23" ht="15" customHeight="1">
      <c r="C904" s="3">
        <v>10</v>
      </c>
      <c r="D904" s="15" t="s">
        <v>697</v>
      </c>
      <c r="E904" s="312" t="s">
        <v>247</v>
      </c>
      <c r="G904" s="26">
        <v>24695</v>
      </c>
      <c r="H904" s="26">
        <v>3830</v>
      </c>
      <c r="I904" s="26">
        <v>0</v>
      </c>
      <c r="J904" s="26">
        <v>0</v>
      </c>
      <c r="K904" s="26">
        <v>73500</v>
      </c>
      <c r="L904" s="26">
        <v>17996</v>
      </c>
      <c r="M904" s="26">
        <v>73500</v>
      </c>
      <c r="N904" s="26">
        <v>21000</v>
      </c>
      <c r="O904" s="285" t="s">
        <v>2825</v>
      </c>
      <c r="P904" s="202">
        <v>888</v>
      </c>
      <c r="Q904" s="210">
        <v>10</v>
      </c>
      <c r="R904" s="205" t="s">
        <v>751</v>
      </c>
      <c r="S904" s="206" t="s">
        <v>234</v>
      </c>
      <c r="T904" s="211">
        <v>0</v>
      </c>
      <c r="U904" s="211">
        <v>0</v>
      </c>
      <c r="V904" s="213">
        <v>0</v>
      </c>
      <c r="W904" s="213">
        <v>0</v>
      </c>
    </row>
    <row r="905" spans="1:23" ht="15" customHeight="1">
      <c r="C905" s="3">
        <v>10</v>
      </c>
      <c r="D905" s="15" t="s">
        <v>698</v>
      </c>
      <c r="E905" s="312" t="s">
        <v>461</v>
      </c>
      <c r="G905" s="26">
        <v>0</v>
      </c>
      <c r="H905" s="26">
        <v>32727</v>
      </c>
      <c r="I905" s="26">
        <v>0</v>
      </c>
      <c r="J905" s="26">
        <v>0</v>
      </c>
      <c r="K905" s="26">
        <v>-60500</v>
      </c>
      <c r="L905" s="26">
        <v>0</v>
      </c>
      <c r="M905" s="26">
        <v>-60500</v>
      </c>
      <c r="N905" s="26">
        <v>-16000</v>
      </c>
      <c r="O905" s="285" t="s">
        <v>2932</v>
      </c>
      <c r="P905" s="202">
        <v>889</v>
      </c>
      <c r="Q905" s="210">
        <v>10</v>
      </c>
      <c r="R905" s="205" t="s">
        <v>752</v>
      </c>
      <c r="S905" s="206" t="s">
        <v>236</v>
      </c>
      <c r="T905" s="211">
        <v>0</v>
      </c>
      <c r="U905" s="211">
        <v>0</v>
      </c>
      <c r="V905" s="213">
        <v>0</v>
      </c>
      <c r="W905" s="213">
        <v>0</v>
      </c>
    </row>
    <row r="906" spans="1:23" ht="15" customHeight="1">
      <c r="C906" s="3">
        <v>10</v>
      </c>
      <c r="D906" s="15" t="s">
        <v>699</v>
      </c>
      <c r="E906" s="312" t="s">
        <v>382</v>
      </c>
      <c r="G906" s="26">
        <v>0</v>
      </c>
      <c r="H906" s="26">
        <v>-27727</v>
      </c>
      <c r="I906" s="26">
        <v>0</v>
      </c>
      <c r="J906" s="26">
        <v>56650</v>
      </c>
      <c r="K906" s="26">
        <v>0</v>
      </c>
      <c r="L906" s="26">
        <v>0</v>
      </c>
      <c r="M906" s="26">
        <v>0</v>
      </c>
      <c r="N906" s="26">
        <v>0</v>
      </c>
      <c r="O906" s="285" t="s">
        <v>2931</v>
      </c>
      <c r="P906" s="202">
        <v>890</v>
      </c>
      <c r="Q906" s="210">
        <v>10</v>
      </c>
      <c r="R906" s="205" t="s">
        <v>753</v>
      </c>
      <c r="S906" s="206" t="s">
        <v>329</v>
      </c>
      <c r="T906" s="211">
        <v>0</v>
      </c>
      <c r="U906" s="211">
        <v>0</v>
      </c>
      <c r="V906" s="213">
        <v>0</v>
      </c>
      <c r="W906" s="213">
        <v>0</v>
      </c>
    </row>
    <row r="907" spans="1:23" ht="15" customHeight="1">
      <c r="C907" s="3">
        <v>10</v>
      </c>
      <c r="D907" s="15" t="s">
        <v>700</v>
      </c>
      <c r="E907" s="312" t="s">
        <v>173</v>
      </c>
      <c r="G907" s="26">
        <v>0</v>
      </c>
      <c r="H907" s="26">
        <v>0</v>
      </c>
      <c r="I907" s="26">
        <v>0</v>
      </c>
      <c r="J907" s="26">
        <v>0</v>
      </c>
      <c r="K907" s="26">
        <v>0</v>
      </c>
      <c r="L907" s="26">
        <v>0</v>
      </c>
      <c r="M907" s="26">
        <v>0</v>
      </c>
      <c r="N907" s="26">
        <v>0</v>
      </c>
      <c r="O907" s="285"/>
      <c r="P907" s="202">
        <v>891</v>
      </c>
      <c r="Q907" s="210">
        <v>10</v>
      </c>
      <c r="R907" s="205" t="s">
        <v>754</v>
      </c>
      <c r="S907" s="206" t="s">
        <v>165</v>
      </c>
      <c r="T907" s="211">
        <v>0</v>
      </c>
      <c r="U907" s="211">
        <v>0</v>
      </c>
      <c r="V907" s="213">
        <v>0</v>
      </c>
      <c r="W907" s="213">
        <v>0</v>
      </c>
    </row>
    <row r="908" spans="1:23" ht="15" customHeight="1">
      <c r="C908" s="3">
        <v>10</v>
      </c>
      <c r="D908" s="15" t="s">
        <v>701</v>
      </c>
      <c r="E908" s="312" t="s">
        <v>702</v>
      </c>
      <c r="G908" s="26">
        <v>0</v>
      </c>
      <c r="H908" s="26">
        <v>0</v>
      </c>
      <c r="I908" s="26">
        <v>0</v>
      </c>
      <c r="J908" s="26">
        <v>0</v>
      </c>
      <c r="K908" s="26">
        <v>6000</v>
      </c>
      <c r="L908" s="26">
        <v>6039</v>
      </c>
      <c r="M908" s="26">
        <v>6039</v>
      </c>
      <c r="N908" s="26">
        <v>0</v>
      </c>
      <c r="O908" s="285"/>
      <c r="P908" s="202">
        <v>892</v>
      </c>
      <c r="Q908" s="210">
        <v>10</v>
      </c>
      <c r="R908" s="205" t="s">
        <v>755</v>
      </c>
      <c r="S908" s="206" t="s">
        <v>167</v>
      </c>
      <c r="T908" s="211">
        <v>3000</v>
      </c>
      <c r="U908" s="211">
        <v>319.99</v>
      </c>
      <c r="V908" s="213">
        <v>319.99</v>
      </c>
      <c r="W908" s="213">
        <v>10.67</v>
      </c>
    </row>
    <row r="909" spans="1:23" ht="15" customHeight="1">
      <c r="C909" s="3">
        <v>10</v>
      </c>
      <c r="D909" s="15" t="s">
        <v>703</v>
      </c>
      <c r="E909" s="312" t="s">
        <v>244</v>
      </c>
      <c r="G909" s="26">
        <v>0</v>
      </c>
      <c r="H909" s="26">
        <v>0</v>
      </c>
      <c r="I909" s="26">
        <v>0</v>
      </c>
      <c r="J909" s="26">
        <v>0</v>
      </c>
      <c r="K909" s="26">
        <v>0</v>
      </c>
      <c r="L909" s="26">
        <v>0</v>
      </c>
      <c r="M909" s="26">
        <v>0</v>
      </c>
      <c r="N909" s="26">
        <v>0</v>
      </c>
      <c r="O909" s="285"/>
      <c r="P909" s="202">
        <v>893</v>
      </c>
      <c r="Q909" s="210">
        <v>10</v>
      </c>
      <c r="R909" s="205" t="s">
        <v>756</v>
      </c>
      <c r="S909" s="206" t="s">
        <v>169</v>
      </c>
      <c r="T909" s="211">
        <v>1200</v>
      </c>
      <c r="U909" s="211">
        <v>13.63</v>
      </c>
      <c r="V909" s="213">
        <v>158.22999999999999</v>
      </c>
      <c r="W909" s="213">
        <v>13.19</v>
      </c>
    </row>
    <row r="910" spans="1:23" ht="15" customHeight="1">
      <c r="G910" s="26"/>
      <c r="H910" s="26"/>
      <c r="I910" s="26"/>
      <c r="J910" s="26"/>
      <c r="K910" s="26"/>
      <c r="L910" s="26"/>
      <c r="M910" s="26"/>
      <c r="N910" s="26"/>
      <c r="P910" s="202">
        <v>894</v>
      </c>
      <c r="Q910" s="210">
        <v>10</v>
      </c>
      <c r="R910" s="205" t="s">
        <v>757</v>
      </c>
      <c r="S910" s="206" t="s">
        <v>171</v>
      </c>
      <c r="T910" s="211">
        <v>700</v>
      </c>
      <c r="U910" s="211">
        <v>5.84</v>
      </c>
      <c r="V910" s="213">
        <v>429.27</v>
      </c>
      <c r="W910" s="213">
        <v>61.32</v>
      </c>
    </row>
    <row r="911" spans="1:23" s="24" customFormat="1" ht="15" customHeight="1">
      <c r="A911" s="2" t="s">
        <v>245</v>
      </c>
      <c r="B911" s="2" t="s">
        <v>2317</v>
      </c>
      <c r="C911" s="3"/>
      <c r="D911" s="323" t="s">
        <v>2092</v>
      </c>
      <c r="E911" s="323"/>
      <c r="F911" s="324"/>
      <c r="G911" s="325">
        <f>SUM(G897:G910)</f>
        <v>22142</v>
      </c>
      <c r="H911" s="325">
        <f t="shared" ref="H911:N911" si="80">SUM(H897:H910)</f>
        <v>25287</v>
      </c>
      <c r="I911" s="325">
        <f t="shared" si="80"/>
        <v>20989</v>
      </c>
      <c r="J911" s="325">
        <f t="shared" si="80"/>
        <v>68342</v>
      </c>
      <c r="K911" s="325">
        <f t="shared" si="80"/>
        <v>24600</v>
      </c>
      <c r="L911" s="325">
        <f t="shared" si="80"/>
        <v>28384</v>
      </c>
      <c r="M911" s="325">
        <f t="shared" si="80"/>
        <v>24639</v>
      </c>
      <c r="N911" s="325">
        <f t="shared" si="80"/>
        <v>10500</v>
      </c>
      <c r="O911" s="292"/>
      <c r="P911" s="202">
        <v>895</v>
      </c>
      <c r="Q911" s="210">
        <v>10</v>
      </c>
      <c r="R911" s="205" t="s">
        <v>758</v>
      </c>
      <c r="S911" s="206" t="s">
        <v>173</v>
      </c>
      <c r="T911" s="211">
        <v>2000</v>
      </c>
      <c r="U911" s="211">
        <v>998.84</v>
      </c>
      <c r="V911" s="213">
        <v>4726.26</v>
      </c>
      <c r="W911" s="213">
        <v>236.31</v>
      </c>
    </row>
    <row r="912" spans="1:23" ht="15" customHeight="1">
      <c r="G912" s="26"/>
      <c r="H912" s="26"/>
      <c r="I912" s="26"/>
      <c r="J912" s="26"/>
      <c r="K912" s="26"/>
      <c r="L912" s="26"/>
      <c r="M912" s="26"/>
      <c r="N912" s="26"/>
      <c r="P912" s="202">
        <v>896</v>
      </c>
      <c r="Q912" s="210">
        <v>10</v>
      </c>
      <c r="R912" s="205" t="s">
        <v>759</v>
      </c>
      <c r="S912" s="206" t="s">
        <v>175</v>
      </c>
      <c r="T912" s="211">
        <v>0</v>
      </c>
      <c r="U912" s="211">
        <v>0</v>
      </c>
      <c r="V912" s="213">
        <v>0</v>
      </c>
      <c r="W912" s="213">
        <v>0</v>
      </c>
    </row>
    <row r="913" spans="1:23" s="43" customFormat="1" ht="15" customHeight="1" thickBot="1">
      <c r="A913" s="2"/>
      <c r="B913" s="2" t="s">
        <v>2317</v>
      </c>
      <c r="C913" s="3"/>
      <c r="D913" s="68" t="s">
        <v>1987</v>
      </c>
      <c r="E913" s="326"/>
      <c r="F913" s="327"/>
      <c r="G913" s="328">
        <f t="shared" ref="G913:N913" si="81">+G911+G895+G875+G851+G825</f>
        <v>1066441</v>
      </c>
      <c r="H913" s="328">
        <f t="shared" si="81"/>
        <v>988100</v>
      </c>
      <c r="I913" s="328">
        <f t="shared" si="81"/>
        <v>985124</v>
      </c>
      <c r="J913" s="328">
        <f t="shared" si="81"/>
        <v>1139366</v>
      </c>
      <c r="K913" s="328">
        <f t="shared" si="81"/>
        <v>1065568</v>
      </c>
      <c r="L913" s="328">
        <f t="shared" si="81"/>
        <v>648013</v>
      </c>
      <c r="M913" s="328">
        <f t="shared" si="81"/>
        <v>1095608.9899999998</v>
      </c>
      <c r="N913" s="328">
        <f t="shared" si="81"/>
        <v>1102205.6039999998</v>
      </c>
      <c r="O913" s="288"/>
      <c r="P913" s="202">
        <v>897</v>
      </c>
      <c r="Q913" s="210">
        <v>10</v>
      </c>
      <c r="R913" s="205" t="s">
        <v>760</v>
      </c>
      <c r="S913" s="206" t="s">
        <v>244</v>
      </c>
      <c r="T913" s="211">
        <v>0</v>
      </c>
      <c r="U913" s="211">
        <v>0</v>
      </c>
      <c r="V913" s="213">
        <v>0</v>
      </c>
      <c r="W913" s="213">
        <v>0</v>
      </c>
    </row>
    <row r="914" spans="1:23" s="45" customFormat="1" ht="15" customHeight="1" thickTop="1">
      <c r="A914" s="2"/>
      <c r="B914" s="2"/>
      <c r="C914" s="3"/>
      <c r="D914" s="47"/>
      <c r="E914" s="15"/>
      <c r="F914" s="105"/>
      <c r="G914" s="26"/>
      <c r="H914" s="26"/>
      <c r="I914" s="26"/>
      <c r="J914" s="26"/>
      <c r="K914" s="26"/>
      <c r="L914" s="26"/>
      <c r="M914" s="26"/>
      <c r="N914" s="26"/>
      <c r="O914" s="275"/>
      <c r="P914" s="202">
        <v>898</v>
      </c>
      <c r="Q914" s="210">
        <v>10</v>
      </c>
      <c r="R914" s="205" t="s">
        <v>761</v>
      </c>
      <c r="S914" s="206" t="s">
        <v>762</v>
      </c>
      <c r="T914" s="211">
        <v>0</v>
      </c>
      <c r="U914" s="211">
        <v>0</v>
      </c>
      <c r="V914" s="213">
        <v>0</v>
      </c>
      <c r="W914" s="213">
        <v>0</v>
      </c>
    </row>
    <row r="915" spans="1:23" s="45" customFormat="1" ht="15" customHeight="1">
      <c r="A915" s="2"/>
      <c r="B915" s="2"/>
      <c r="C915" s="3"/>
      <c r="D915" s="47" t="s">
        <v>10</v>
      </c>
      <c r="E915" s="15"/>
      <c r="F915" s="105"/>
      <c r="G915" s="26"/>
      <c r="H915" s="26"/>
      <c r="I915" s="26"/>
      <c r="J915" s="26"/>
      <c r="K915" s="26"/>
      <c r="L915" s="26"/>
      <c r="M915" s="26"/>
      <c r="N915" s="26"/>
      <c r="O915" s="275"/>
      <c r="P915" s="202">
        <v>899</v>
      </c>
      <c r="Q915" s="210">
        <v>10</v>
      </c>
      <c r="R915" s="205" t="s">
        <v>763</v>
      </c>
      <c r="S915" s="206" t="s">
        <v>1463</v>
      </c>
      <c r="T915" s="211">
        <v>0</v>
      </c>
      <c r="U915" s="211">
        <v>0</v>
      </c>
      <c r="V915" s="213">
        <v>0</v>
      </c>
      <c r="W915" s="213">
        <v>0</v>
      </c>
    </row>
    <row r="916" spans="1:23" s="45" customFormat="1" ht="15" customHeight="1">
      <c r="A916" s="2"/>
      <c r="B916" s="2"/>
      <c r="C916" s="3"/>
      <c r="D916" s="47"/>
      <c r="E916" s="15"/>
      <c r="F916" s="105"/>
      <c r="G916" s="26"/>
      <c r="H916" s="26"/>
      <c r="I916" s="26"/>
      <c r="J916" s="26"/>
      <c r="K916" s="26"/>
      <c r="L916" s="26"/>
      <c r="M916" s="26"/>
      <c r="N916" s="26"/>
      <c r="O916" s="275"/>
      <c r="P916" s="202">
        <v>900</v>
      </c>
      <c r="Q916" s="210">
        <v>10</v>
      </c>
      <c r="R916" s="205" t="s">
        <v>2623</v>
      </c>
      <c r="S916" s="206"/>
      <c r="T916" s="211"/>
      <c r="U916" s="211"/>
      <c r="V916" s="213"/>
      <c r="W916" s="213"/>
    </row>
    <row r="917" spans="1:23" s="5" customFormat="1" ht="15" customHeight="1">
      <c r="A917" s="2"/>
      <c r="B917" s="2"/>
      <c r="C917" s="3"/>
      <c r="D917" s="47" t="s">
        <v>2093</v>
      </c>
      <c r="E917" s="15"/>
      <c r="F917" s="105"/>
      <c r="G917" s="26"/>
      <c r="H917" s="26"/>
      <c r="I917" s="26"/>
      <c r="J917" s="26"/>
      <c r="K917" s="26"/>
      <c r="L917" s="26"/>
      <c r="M917" s="26"/>
      <c r="N917" s="26"/>
      <c r="O917" s="282"/>
      <c r="P917" s="202">
        <v>901</v>
      </c>
      <c r="Q917" s="210">
        <v>10</v>
      </c>
      <c r="R917" s="205" t="s">
        <v>163</v>
      </c>
      <c r="S917" s="206"/>
      <c r="T917" s="211">
        <v>7900</v>
      </c>
      <c r="U917" s="211">
        <v>1363.3</v>
      </c>
      <c r="V917" s="213">
        <v>5708.75</v>
      </c>
      <c r="W917" s="213">
        <v>0</v>
      </c>
    </row>
    <row r="918" spans="1:23" ht="15" customHeight="1">
      <c r="G918" s="26"/>
      <c r="H918" s="26"/>
      <c r="I918" s="26"/>
      <c r="J918" s="26"/>
      <c r="K918" s="26"/>
      <c r="L918" s="26"/>
      <c r="M918" s="26"/>
      <c r="N918" s="26"/>
      <c r="P918" s="202">
        <v>902</v>
      </c>
      <c r="Q918" s="210">
        <v>10</v>
      </c>
      <c r="R918" s="205" t="s">
        <v>245</v>
      </c>
      <c r="S918" s="206"/>
      <c r="T918" s="211"/>
      <c r="U918" s="211"/>
      <c r="V918" s="213"/>
      <c r="W918" s="213"/>
    </row>
    <row r="919" spans="1:23" ht="15" customHeight="1">
      <c r="C919" s="3">
        <v>10</v>
      </c>
      <c r="D919" s="15" t="s">
        <v>704</v>
      </c>
      <c r="E919" s="312" t="s">
        <v>79</v>
      </c>
      <c r="G919" s="26">
        <v>49182</v>
      </c>
      <c r="H919" s="26">
        <v>72680</v>
      </c>
      <c r="I919" s="26">
        <v>77580</v>
      </c>
      <c r="J919" s="26">
        <v>73422</v>
      </c>
      <c r="K919" s="26">
        <v>54838</v>
      </c>
      <c r="L919" s="26">
        <v>43397</v>
      </c>
      <c r="M919" s="26">
        <v>65000</v>
      </c>
      <c r="N919" s="26">
        <v>55000</v>
      </c>
      <c r="P919" s="202">
        <v>903</v>
      </c>
      <c r="Q919" s="210">
        <v>10</v>
      </c>
      <c r="R919" s="205" t="s">
        <v>2628</v>
      </c>
      <c r="S919" s="206"/>
      <c r="T919" s="211"/>
      <c r="U919" s="211"/>
      <c r="V919" s="213"/>
      <c r="W919" s="213"/>
    </row>
    <row r="920" spans="1:23" ht="15" customHeight="1">
      <c r="C920" s="3">
        <v>10</v>
      </c>
      <c r="D920" s="15" t="s">
        <v>705</v>
      </c>
      <c r="E920" s="312" t="s">
        <v>81</v>
      </c>
      <c r="G920" s="26">
        <v>13372</v>
      </c>
      <c r="H920" s="26">
        <v>16666</v>
      </c>
      <c r="I920" s="26">
        <v>16779</v>
      </c>
      <c r="J920" s="26">
        <v>16647</v>
      </c>
      <c r="K920" s="26">
        <v>13318</v>
      </c>
      <c r="L920" s="26">
        <v>9680</v>
      </c>
      <c r="M920" s="26">
        <f>12381*1.33</f>
        <v>16466.73</v>
      </c>
      <c r="N920" s="26">
        <v>13318</v>
      </c>
      <c r="P920" s="202">
        <v>904</v>
      </c>
      <c r="Q920" s="210">
        <v>10</v>
      </c>
      <c r="R920" s="205" t="s">
        <v>765</v>
      </c>
      <c r="S920" s="206" t="s">
        <v>329</v>
      </c>
      <c r="T920" s="211">
        <v>0</v>
      </c>
      <c r="U920" s="211">
        <v>0</v>
      </c>
      <c r="V920" s="213">
        <v>0</v>
      </c>
      <c r="W920" s="213">
        <v>0</v>
      </c>
    </row>
    <row r="921" spans="1:23" ht="15" customHeight="1">
      <c r="C921" s="3">
        <v>10</v>
      </c>
      <c r="D921" s="15" t="s">
        <v>706</v>
      </c>
      <c r="E921" s="312" t="s">
        <v>83</v>
      </c>
      <c r="G921" s="26">
        <v>0</v>
      </c>
      <c r="H921" s="26">
        <v>134</v>
      </c>
      <c r="I921" s="26">
        <v>53</v>
      </c>
      <c r="J921" s="26">
        <v>0</v>
      </c>
      <c r="K921" s="26">
        <v>0</v>
      </c>
      <c r="L921" s="26">
        <v>0</v>
      </c>
      <c r="M921" s="26">
        <v>0</v>
      </c>
      <c r="N921" s="26">
        <v>0</v>
      </c>
      <c r="P921" s="202">
        <v>905</v>
      </c>
      <c r="Q921" s="210">
        <v>10</v>
      </c>
      <c r="R921" s="205" t="s">
        <v>766</v>
      </c>
      <c r="S921" s="206" t="s">
        <v>165</v>
      </c>
      <c r="T921" s="211">
        <v>0</v>
      </c>
      <c r="U921" s="211">
        <v>0</v>
      </c>
      <c r="V921" s="213">
        <v>0</v>
      </c>
      <c r="W921" s="213">
        <v>0</v>
      </c>
    </row>
    <row r="922" spans="1:23" ht="15" customHeight="1">
      <c r="C922" s="3">
        <v>10</v>
      </c>
      <c r="D922" s="15" t="s">
        <v>707</v>
      </c>
      <c r="E922" s="312" t="s">
        <v>85</v>
      </c>
      <c r="G922" s="26">
        <v>265</v>
      </c>
      <c r="H922" s="26">
        <v>174</v>
      </c>
      <c r="I922" s="26">
        <v>510</v>
      </c>
      <c r="J922" s="26">
        <v>633</v>
      </c>
      <c r="K922" s="26">
        <v>390</v>
      </c>
      <c r="L922" s="26">
        <v>438</v>
      </c>
      <c r="M922" s="26">
        <f>438*1.33</f>
        <v>582.54000000000008</v>
      </c>
      <c r="N922" s="26">
        <v>583</v>
      </c>
      <c r="P922" s="202">
        <v>906</v>
      </c>
      <c r="Q922" s="210">
        <v>10</v>
      </c>
      <c r="R922" s="205" t="s">
        <v>767</v>
      </c>
      <c r="S922" s="206" t="s">
        <v>167</v>
      </c>
      <c r="T922" s="211">
        <v>0</v>
      </c>
      <c r="U922" s="211">
        <v>0</v>
      </c>
      <c r="V922" s="213">
        <v>0</v>
      </c>
      <c r="W922" s="213">
        <v>0</v>
      </c>
    </row>
    <row r="923" spans="1:23" ht="15" customHeight="1">
      <c r="C923" s="3">
        <v>10</v>
      </c>
      <c r="D923" s="15" t="s">
        <v>708</v>
      </c>
      <c r="E923" s="312" t="s">
        <v>87</v>
      </c>
      <c r="G923" s="26">
        <v>4891</v>
      </c>
      <c r="H923" s="26">
        <v>7403</v>
      </c>
      <c r="I923" s="26">
        <v>7770</v>
      </c>
      <c r="J923" s="26">
        <v>6434</v>
      </c>
      <c r="K923" s="26">
        <v>4206</v>
      </c>
      <c r="L923" s="26">
        <v>3392</v>
      </c>
      <c r="M923" s="26">
        <f>4719*1.33</f>
        <v>6276.27</v>
      </c>
      <c r="N923" s="26">
        <v>6727</v>
      </c>
      <c r="P923" s="202">
        <v>907</v>
      </c>
      <c r="Q923" s="210">
        <v>10</v>
      </c>
      <c r="R923" s="205" t="s">
        <v>768</v>
      </c>
      <c r="S923" s="206" t="s">
        <v>247</v>
      </c>
      <c r="T923" s="211">
        <v>0</v>
      </c>
      <c r="U923" s="211">
        <v>0</v>
      </c>
      <c r="V923" s="213">
        <v>0</v>
      </c>
      <c r="W923" s="213">
        <v>0</v>
      </c>
    </row>
    <row r="924" spans="1:23" ht="15" customHeight="1">
      <c r="C924" s="3">
        <v>10</v>
      </c>
      <c r="D924" s="15" t="s">
        <v>709</v>
      </c>
      <c r="E924" s="312" t="s">
        <v>89</v>
      </c>
      <c r="G924" s="26">
        <v>7438</v>
      </c>
      <c r="H924" s="26">
        <v>11043</v>
      </c>
      <c r="I924" s="26">
        <v>12271</v>
      </c>
      <c r="J924" s="26">
        <v>12272</v>
      </c>
      <c r="K924" s="26">
        <v>8807</v>
      </c>
      <c r="L924" s="26">
        <v>7304</v>
      </c>
      <c r="M924" s="26">
        <v>11193</v>
      </c>
      <c r="N924" s="26">
        <v>9360</v>
      </c>
      <c r="P924" s="202">
        <v>908</v>
      </c>
      <c r="Q924" s="210">
        <v>10</v>
      </c>
      <c r="R924" s="205" t="s">
        <v>769</v>
      </c>
      <c r="S924" s="206" t="s">
        <v>461</v>
      </c>
      <c r="T924" s="211">
        <v>0</v>
      </c>
      <c r="U924" s="211">
        <v>0</v>
      </c>
      <c r="V924" s="213">
        <v>0</v>
      </c>
      <c r="W924" s="213">
        <v>0</v>
      </c>
    </row>
    <row r="925" spans="1:23" ht="15" customHeight="1">
      <c r="C925" s="3">
        <v>10</v>
      </c>
      <c r="D925" s="15" t="s">
        <v>710</v>
      </c>
      <c r="E925" s="312" t="s">
        <v>91</v>
      </c>
      <c r="G925" s="26">
        <v>1831</v>
      </c>
      <c r="H925" s="26">
        <v>2444</v>
      </c>
      <c r="I925" s="26">
        <v>1673</v>
      </c>
      <c r="J925" s="26">
        <v>2442</v>
      </c>
      <c r="K925" s="26">
        <v>1500</v>
      </c>
      <c r="L925" s="26">
        <v>1143</v>
      </c>
      <c r="M925" s="26">
        <f>1571*1.33</f>
        <v>2089.4300000000003</v>
      </c>
      <c r="N925" s="26">
        <v>2100</v>
      </c>
      <c r="P925" s="202">
        <v>909</v>
      </c>
      <c r="Q925" s="210">
        <v>10</v>
      </c>
      <c r="R925" s="205" t="s">
        <v>770</v>
      </c>
      <c r="S925" s="206" t="s">
        <v>382</v>
      </c>
      <c r="T925" s="211">
        <v>0</v>
      </c>
      <c r="U925" s="211">
        <v>0</v>
      </c>
      <c r="V925" s="213">
        <v>0</v>
      </c>
      <c r="W925" s="213">
        <v>0</v>
      </c>
    </row>
    <row r="926" spans="1:23" ht="15" customHeight="1">
      <c r="C926" s="3">
        <v>10</v>
      </c>
      <c r="D926" s="15" t="s">
        <v>711</v>
      </c>
      <c r="E926" s="312" t="s">
        <v>93</v>
      </c>
      <c r="G926" s="26">
        <v>13058</v>
      </c>
      <c r="H926" s="26">
        <v>22834</v>
      </c>
      <c r="I926" s="26">
        <v>26710</v>
      </c>
      <c r="J926" s="26">
        <v>13872</v>
      </c>
      <c r="K926" s="26">
        <v>20000</v>
      </c>
      <c r="L926" s="26">
        <v>3010</v>
      </c>
      <c r="M926" s="26">
        <v>6000</v>
      </c>
      <c r="N926" s="26">
        <v>11000</v>
      </c>
      <c r="P926" s="202">
        <v>910</v>
      </c>
      <c r="Q926" s="210">
        <v>10</v>
      </c>
      <c r="R926" s="205" t="s">
        <v>771</v>
      </c>
      <c r="S926" s="206" t="s">
        <v>173</v>
      </c>
      <c r="T926" s="211">
        <v>0</v>
      </c>
      <c r="U926" s="211">
        <v>0</v>
      </c>
      <c r="V926" s="213">
        <v>1159.06</v>
      </c>
      <c r="W926" s="213">
        <v>0</v>
      </c>
    </row>
    <row r="927" spans="1:23" ht="15" customHeight="1">
      <c r="C927" s="3">
        <v>10</v>
      </c>
      <c r="D927" s="15" t="s">
        <v>712</v>
      </c>
      <c r="E927" s="312" t="s">
        <v>95</v>
      </c>
      <c r="G927" s="26">
        <v>0</v>
      </c>
      <c r="H927" s="26">
        <v>0</v>
      </c>
      <c r="I927" s="26">
        <v>0</v>
      </c>
      <c r="J927" s="26">
        <v>0</v>
      </c>
      <c r="K927" s="26">
        <v>0</v>
      </c>
      <c r="L927" s="26">
        <v>0</v>
      </c>
      <c r="M927" s="26">
        <v>0</v>
      </c>
      <c r="N927" s="26">
        <v>0</v>
      </c>
      <c r="P927" s="202">
        <v>911</v>
      </c>
      <c r="Q927" s="210">
        <v>10</v>
      </c>
      <c r="R927" s="205" t="s">
        <v>772</v>
      </c>
      <c r="S927" s="206" t="s">
        <v>773</v>
      </c>
      <c r="T927" s="211">
        <v>0</v>
      </c>
      <c r="U927" s="211">
        <v>0</v>
      </c>
      <c r="V927" s="213">
        <v>0</v>
      </c>
      <c r="W927" s="213">
        <v>0</v>
      </c>
    </row>
    <row r="928" spans="1:23" ht="15" customHeight="1">
      <c r="C928" s="3">
        <v>10</v>
      </c>
      <c r="D928" s="15" t="s">
        <v>713</v>
      </c>
      <c r="E928" s="312" t="s">
        <v>97</v>
      </c>
      <c r="G928" s="26">
        <v>1335</v>
      </c>
      <c r="H928" s="26">
        <v>1566</v>
      </c>
      <c r="I928" s="26">
        <v>925</v>
      </c>
      <c r="J928" s="26">
        <v>52</v>
      </c>
      <c r="K928" s="26">
        <v>505</v>
      </c>
      <c r="L928" s="26">
        <v>59</v>
      </c>
      <c r="M928" s="26">
        <f>79*1.33</f>
        <v>105.07000000000001</v>
      </c>
      <c r="N928" s="26">
        <v>0</v>
      </c>
      <c r="P928" s="202">
        <v>912</v>
      </c>
      <c r="Q928" s="210">
        <v>10</v>
      </c>
      <c r="R928" s="205" t="s">
        <v>774</v>
      </c>
      <c r="S928" s="206" t="s">
        <v>244</v>
      </c>
      <c r="T928" s="211">
        <v>0</v>
      </c>
      <c r="U928" s="211">
        <v>0</v>
      </c>
      <c r="V928" s="213">
        <v>0</v>
      </c>
      <c r="W928" s="213">
        <v>0</v>
      </c>
    </row>
    <row r="929" spans="1:23" ht="15" customHeight="1">
      <c r="C929" s="3">
        <v>10</v>
      </c>
      <c r="D929" s="15" t="s">
        <v>714</v>
      </c>
      <c r="E929" s="312" t="s">
        <v>99</v>
      </c>
      <c r="G929" s="26">
        <v>117</v>
      </c>
      <c r="H929" s="26">
        <v>146</v>
      </c>
      <c r="I929" s="26">
        <v>146</v>
      </c>
      <c r="J929" s="26">
        <v>117</v>
      </c>
      <c r="K929" s="26">
        <v>118</v>
      </c>
      <c r="L929" s="26">
        <v>143</v>
      </c>
      <c r="M929" s="26">
        <f>143*1.33</f>
        <v>190.19</v>
      </c>
      <c r="N929" s="26">
        <v>190</v>
      </c>
      <c r="P929" s="202">
        <v>913</v>
      </c>
      <c r="Q929" s="210">
        <v>10</v>
      </c>
      <c r="R929" s="205" t="s">
        <v>2623</v>
      </c>
      <c r="S929" s="206"/>
      <c r="T929" s="211"/>
      <c r="U929" s="211"/>
      <c r="V929" s="213"/>
      <c r="W929" s="213"/>
    </row>
    <row r="930" spans="1:23" ht="15" customHeight="1">
      <c r="C930" s="3">
        <v>10</v>
      </c>
      <c r="D930" s="15" t="s">
        <v>715</v>
      </c>
      <c r="E930" s="312" t="s">
        <v>101</v>
      </c>
      <c r="G930" s="26">
        <v>0</v>
      </c>
      <c r="H930" s="26">
        <v>0</v>
      </c>
      <c r="I930" s="26">
        <v>0</v>
      </c>
      <c r="J930" s="26">
        <v>0</v>
      </c>
      <c r="K930" s="26">
        <v>0</v>
      </c>
      <c r="L930" s="26">
        <v>0</v>
      </c>
      <c r="M930" s="26">
        <v>0</v>
      </c>
      <c r="N930" s="26">
        <v>0</v>
      </c>
      <c r="P930" s="202">
        <v>914</v>
      </c>
      <c r="Q930" s="210">
        <v>10</v>
      </c>
      <c r="R930" s="205" t="s">
        <v>245</v>
      </c>
      <c r="S930" s="206"/>
      <c r="T930" s="211">
        <v>0</v>
      </c>
      <c r="U930" s="211">
        <v>0</v>
      </c>
      <c r="V930" s="213">
        <v>1159.06</v>
      </c>
      <c r="W930" s="213">
        <v>0</v>
      </c>
    </row>
    <row r="931" spans="1:23" ht="15" customHeight="1">
      <c r="C931" s="3">
        <v>10</v>
      </c>
      <c r="D931" s="15" t="s">
        <v>716</v>
      </c>
      <c r="E931" s="312" t="s">
        <v>103</v>
      </c>
      <c r="G931" s="26">
        <v>0</v>
      </c>
      <c r="H931" s="26">
        <v>0</v>
      </c>
      <c r="I931" s="26">
        <v>0</v>
      </c>
      <c r="J931" s="26">
        <v>0</v>
      </c>
      <c r="K931" s="26">
        <v>0</v>
      </c>
      <c r="L931" s="26">
        <v>0</v>
      </c>
      <c r="M931" s="26">
        <v>0</v>
      </c>
      <c r="N931" s="26">
        <v>0</v>
      </c>
      <c r="P931" s="202">
        <v>915</v>
      </c>
      <c r="Q931" s="210">
        <v>10</v>
      </c>
      <c r="R931" s="205" t="s">
        <v>2623</v>
      </c>
      <c r="S931" s="206"/>
      <c r="T931" s="211"/>
      <c r="U931" s="211"/>
      <c r="V931" s="213"/>
      <c r="W931" s="213"/>
    </row>
    <row r="932" spans="1:23" ht="15" customHeight="1">
      <c r="G932" s="26"/>
      <c r="H932" s="26"/>
      <c r="I932" s="26"/>
      <c r="J932" s="26"/>
      <c r="K932" s="26"/>
      <c r="L932" s="26"/>
      <c r="M932" s="26"/>
      <c r="N932" s="26"/>
      <c r="P932" s="202">
        <v>916</v>
      </c>
      <c r="Q932" s="210">
        <v>10</v>
      </c>
      <c r="R932" s="205" t="s">
        <v>10</v>
      </c>
      <c r="S932" s="206"/>
      <c r="T932" s="211">
        <v>127887</v>
      </c>
      <c r="U932" s="211">
        <v>14797.7</v>
      </c>
      <c r="V932" s="213">
        <v>97291.68</v>
      </c>
      <c r="W932" s="213">
        <v>76.08</v>
      </c>
    </row>
    <row r="933" spans="1:23" s="72" customFormat="1" ht="15" customHeight="1">
      <c r="A933" s="5" t="s">
        <v>2410</v>
      </c>
      <c r="B933" s="5" t="s">
        <v>2317</v>
      </c>
      <c r="C933" s="3"/>
      <c r="D933" s="323" t="s">
        <v>2094</v>
      </c>
      <c r="E933" s="323"/>
      <c r="F933" s="324"/>
      <c r="G933" s="325">
        <f>SUM(G917:G932)</f>
        <v>91489</v>
      </c>
      <c r="H933" s="325">
        <f t="shared" ref="H933:N933" si="82">SUM(H917:H932)</f>
        <v>135090</v>
      </c>
      <c r="I933" s="325">
        <f t="shared" si="82"/>
        <v>144417</v>
      </c>
      <c r="J933" s="325">
        <f t="shared" si="82"/>
        <v>125891</v>
      </c>
      <c r="K933" s="325">
        <f t="shared" si="82"/>
        <v>103682</v>
      </c>
      <c r="L933" s="325">
        <f t="shared" si="82"/>
        <v>68566</v>
      </c>
      <c r="M933" s="325">
        <f t="shared" si="82"/>
        <v>107903.23000000001</v>
      </c>
      <c r="N933" s="325">
        <f t="shared" si="82"/>
        <v>98278</v>
      </c>
      <c r="O933" s="286"/>
      <c r="P933" s="202">
        <v>917</v>
      </c>
      <c r="Q933" s="210">
        <v>10</v>
      </c>
      <c r="R933" s="205" t="s">
        <v>2621</v>
      </c>
      <c r="S933" s="206"/>
      <c r="T933" s="211"/>
      <c r="U933" s="211"/>
      <c r="V933" s="213"/>
      <c r="W933" s="213"/>
    </row>
    <row r="934" spans="1:23" s="46" customFormat="1" ht="15" customHeight="1">
      <c r="A934" s="2"/>
      <c r="B934" s="2"/>
      <c r="C934" s="3"/>
      <c r="D934" s="47"/>
      <c r="E934" s="47"/>
      <c r="F934" s="191"/>
      <c r="G934" s="48"/>
      <c r="H934" s="48"/>
      <c r="I934" s="48"/>
      <c r="J934" s="48"/>
      <c r="K934" s="48"/>
      <c r="L934" s="48"/>
      <c r="M934" s="48"/>
      <c r="N934" s="48"/>
      <c r="O934" s="289"/>
      <c r="P934" s="202">
        <v>918</v>
      </c>
      <c r="Q934" s="210">
        <v>10</v>
      </c>
      <c r="R934" s="205" t="s">
        <v>2622</v>
      </c>
      <c r="S934" s="206"/>
      <c r="T934" s="211"/>
      <c r="U934" s="211"/>
      <c r="V934" s="213"/>
      <c r="W934" s="213"/>
    </row>
    <row r="935" spans="1:23" ht="15" customHeight="1">
      <c r="D935" s="47" t="s">
        <v>2095</v>
      </c>
      <c r="G935" s="26"/>
      <c r="H935" s="26"/>
      <c r="I935" s="26"/>
      <c r="J935" s="26"/>
      <c r="K935" s="26"/>
      <c r="L935" s="26"/>
      <c r="M935" s="26"/>
      <c r="N935" s="26"/>
      <c r="P935" s="202">
        <v>919</v>
      </c>
      <c r="Q935" s="210">
        <v>10</v>
      </c>
      <c r="R935" s="205" t="s">
        <v>775</v>
      </c>
      <c r="S935" s="206" t="s">
        <v>79</v>
      </c>
      <c r="T935" s="211">
        <v>46548</v>
      </c>
      <c r="U935" s="211">
        <v>2840.84</v>
      </c>
      <c r="V935" s="213">
        <v>26916.01</v>
      </c>
      <c r="W935" s="213">
        <v>57.82</v>
      </c>
    </row>
    <row r="936" spans="1:23" ht="15" customHeight="1">
      <c r="G936" s="26"/>
      <c r="H936" s="26"/>
      <c r="I936" s="26"/>
      <c r="J936" s="26"/>
      <c r="K936" s="26"/>
      <c r="L936" s="26"/>
      <c r="M936" s="26"/>
      <c r="N936" s="26"/>
      <c r="P936" s="202">
        <v>920</v>
      </c>
      <c r="Q936" s="210">
        <v>10</v>
      </c>
      <c r="R936" s="205" t="s">
        <v>776</v>
      </c>
      <c r="S936" s="206" t="s">
        <v>81</v>
      </c>
      <c r="T936" s="211">
        <v>6659</v>
      </c>
      <c r="U936" s="211">
        <v>574.21</v>
      </c>
      <c r="V936" s="213">
        <v>3903.73</v>
      </c>
      <c r="W936" s="213">
        <v>58.62</v>
      </c>
    </row>
    <row r="937" spans="1:23" ht="15" customHeight="1">
      <c r="C937" s="3">
        <v>10</v>
      </c>
      <c r="D937" s="15" t="s">
        <v>717</v>
      </c>
      <c r="E937" s="312" t="s">
        <v>115</v>
      </c>
      <c r="G937" s="26">
        <v>0</v>
      </c>
      <c r="H937" s="26">
        <v>0</v>
      </c>
      <c r="I937" s="26">
        <v>39</v>
      </c>
      <c r="J937" s="26">
        <v>210</v>
      </c>
      <c r="K937" s="26">
        <v>200</v>
      </c>
      <c r="L937" s="26">
        <v>35</v>
      </c>
      <c r="M937" s="26">
        <v>60</v>
      </c>
      <c r="N937" s="26">
        <v>200</v>
      </c>
      <c r="O937" s="285"/>
      <c r="P937" s="202">
        <v>921</v>
      </c>
      <c r="Q937" s="210">
        <v>10</v>
      </c>
      <c r="R937" s="205" t="s">
        <v>777</v>
      </c>
      <c r="S937" s="206" t="s">
        <v>83</v>
      </c>
      <c r="T937" s="211">
        <v>0</v>
      </c>
      <c r="U937" s="211">
        <v>0</v>
      </c>
      <c r="V937" s="213">
        <v>0</v>
      </c>
      <c r="W937" s="213">
        <v>0</v>
      </c>
    </row>
    <row r="938" spans="1:23" ht="15" customHeight="1">
      <c r="C938" s="3">
        <v>10</v>
      </c>
      <c r="D938" s="15" t="s">
        <v>718</v>
      </c>
      <c r="E938" s="312" t="s">
        <v>117</v>
      </c>
      <c r="G938" s="26">
        <v>0</v>
      </c>
      <c r="H938" s="26">
        <v>0</v>
      </c>
      <c r="I938" s="26">
        <v>0</v>
      </c>
      <c r="J938" s="26">
        <v>11</v>
      </c>
      <c r="K938" s="26">
        <v>15</v>
      </c>
      <c r="L938" s="26">
        <v>0</v>
      </c>
      <c r="M938" s="26">
        <v>0</v>
      </c>
      <c r="N938" s="26">
        <v>15</v>
      </c>
      <c r="O938" s="285"/>
      <c r="P938" s="202">
        <v>922</v>
      </c>
      <c r="Q938" s="210">
        <v>10</v>
      </c>
      <c r="R938" s="205" t="s">
        <v>778</v>
      </c>
      <c r="S938" s="206" t="s">
        <v>85</v>
      </c>
      <c r="T938" s="211">
        <v>388</v>
      </c>
      <c r="U938" s="211">
        <v>0</v>
      </c>
      <c r="V938" s="213">
        <v>338.59</v>
      </c>
      <c r="W938" s="213">
        <v>87.27</v>
      </c>
    </row>
    <row r="939" spans="1:23" ht="15" customHeight="1">
      <c r="C939" s="3">
        <v>10</v>
      </c>
      <c r="D939" s="15" t="s">
        <v>719</v>
      </c>
      <c r="E939" s="312" t="s">
        <v>119</v>
      </c>
      <c r="G939" s="26">
        <v>7</v>
      </c>
      <c r="H939" s="26">
        <v>0</v>
      </c>
      <c r="I939" s="26">
        <v>0</v>
      </c>
      <c r="J939" s="26">
        <v>1</v>
      </c>
      <c r="K939" s="26">
        <v>0</v>
      </c>
      <c r="L939" s="26">
        <v>2</v>
      </c>
      <c r="M939" s="26">
        <v>4</v>
      </c>
      <c r="N939" s="26">
        <v>0</v>
      </c>
      <c r="O939" s="285"/>
      <c r="P939" s="202">
        <v>923</v>
      </c>
      <c r="Q939" s="210">
        <v>10</v>
      </c>
      <c r="R939" s="205" t="s">
        <v>779</v>
      </c>
      <c r="S939" s="206" t="s">
        <v>87</v>
      </c>
      <c r="T939" s="211">
        <v>2650</v>
      </c>
      <c r="U939" s="211">
        <v>231.3</v>
      </c>
      <c r="V939" s="213">
        <v>2132.02</v>
      </c>
      <c r="W939" s="213">
        <v>80.45</v>
      </c>
    </row>
    <row r="940" spans="1:23" ht="15" customHeight="1">
      <c r="C940" s="3">
        <v>10</v>
      </c>
      <c r="D940" s="15" t="s">
        <v>720</v>
      </c>
      <c r="E940" s="312" t="s">
        <v>121</v>
      </c>
      <c r="G940" s="26">
        <v>97</v>
      </c>
      <c r="H940" s="26">
        <v>29</v>
      </c>
      <c r="I940" s="26">
        <v>24</v>
      </c>
      <c r="J940" s="26">
        <v>110</v>
      </c>
      <c r="K940" s="26">
        <v>120</v>
      </c>
      <c r="L940" s="26">
        <v>0</v>
      </c>
      <c r="M940" s="26">
        <v>0</v>
      </c>
      <c r="N940" s="26">
        <v>120</v>
      </c>
      <c r="O940" s="285"/>
      <c r="P940" s="202">
        <v>924</v>
      </c>
      <c r="Q940" s="210">
        <v>10</v>
      </c>
      <c r="R940" s="205" t="s">
        <v>780</v>
      </c>
      <c r="S940" s="206" t="s">
        <v>89</v>
      </c>
      <c r="T940" s="211">
        <v>7476</v>
      </c>
      <c r="U940" s="211">
        <v>493.28</v>
      </c>
      <c r="V940" s="213">
        <v>4549.6099999999997</v>
      </c>
      <c r="W940" s="213">
        <v>60.86</v>
      </c>
    </row>
    <row r="941" spans="1:23" ht="15" customHeight="1">
      <c r="C941" s="3">
        <v>10</v>
      </c>
      <c r="D941" s="15" t="s">
        <v>721</v>
      </c>
      <c r="E941" s="312" t="s">
        <v>123</v>
      </c>
      <c r="G941" s="26">
        <v>0</v>
      </c>
      <c r="H941" s="26">
        <v>24</v>
      </c>
      <c r="I941" s="26">
        <v>0</v>
      </c>
      <c r="J941" s="26">
        <v>34</v>
      </c>
      <c r="K941" s="26">
        <v>0</v>
      </c>
      <c r="L941" s="26">
        <v>0</v>
      </c>
      <c r="M941" s="26">
        <v>0</v>
      </c>
      <c r="N941" s="26">
        <v>0</v>
      </c>
      <c r="O941" s="285"/>
      <c r="P941" s="202">
        <v>925</v>
      </c>
      <c r="Q941" s="210">
        <v>10</v>
      </c>
      <c r="R941" s="205" t="s">
        <v>781</v>
      </c>
      <c r="S941" s="206" t="s">
        <v>91</v>
      </c>
      <c r="T941" s="211">
        <v>0</v>
      </c>
      <c r="U941" s="211">
        <v>187.25</v>
      </c>
      <c r="V941" s="213">
        <v>843.7</v>
      </c>
      <c r="W941" s="213">
        <v>0</v>
      </c>
    </row>
    <row r="942" spans="1:23" ht="15" customHeight="1">
      <c r="C942" s="3">
        <v>10</v>
      </c>
      <c r="D942" s="15" t="s">
        <v>722</v>
      </c>
      <c r="E942" s="312" t="s">
        <v>125</v>
      </c>
      <c r="G942" s="26">
        <v>0</v>
      </c>
      <c r="H942" s="26">
        <v>0</v>
      </c>
      <c r="I942" s="26">
        <v>0</v>
      </c>
      <c r="J942" s="26">
        <v>0</v>
      </c>
      <c r="K942" s="26">
        <v>0</v>
      </c>
      <c r="L942" s="26">
        <v>0</v>
      </c>
      <c r="M942" s="26">
        <v>0</v>
      </c>
      <c r="N942" s="26">
        <v>0</v>
      </c>
      <c r="O942" s="285"/>
      <c r="P942" s="202">
        <v>926</v>
      </c>
      <c r="Q942" s="210">
        <v>10</v>
      </c>
      <c r="R942" s="205" t="s">
        <v>782</v>
      </c>
      <c r="S942" s="206" t="s">
        <v>93</v>
      </c>
      <c r="T942" s="211">
        <v>0</v>
      </c>
      <c r="U942" s="211">
        <v>0</v>
      </c>
      <c r="V942" s="213">
        <v>0</v>
      </c>
      <c r="W942" s="213">
        <v>0</v>
      </c>
    </row>
    <row r="943" spans="1:23" ht="15" customHeight="1">
      <c r="C943" s="3">
        <v>10</v>
      </c>
      <c r="D943" s="15" t="s">
        <v>723</v>
      </c>
      <c r="E943" s="312" t="s">
        <v>106</v>
      </c>
      <c r="G943" s="26">
        <v>0</v>
      </c>
      <c r="H943" s="26">
        <v>3660</v>
      </c>
      <c r="I943" s="26">
        <v>5460</v>
      </c>
      <c r="J943" s="26">
        <v>4766</v>
      </c>
      <c r="K943" s="26">
        <v>3200</v>
      </c>
      <c r="L943" s="26">
        <v>2834</v>
      </c>
      <c r="M943" s="26">
        <v>4859</v>
      </c>
      <c r="N943" s="26">
        <v>3520</v>
      </c>
      <c r="O943" s="285" t="s">
        <v>2695</v>
      </c>
      <c r="P943" s="202">
        <v>927</v>
      </c>
      <c r="Q943" s="210">
        <v>10</v>
      </c>
      <c r="R943" s="205" t="s">
        <v>783</v>
      </c>
      <c r="S943" s="206" t="s">
        <v>95</v>
      </c>
      <c r="T943" s="211">
        <v>0</v>
      </c>
      <c r="U943" s="211">
        <v>0</v>
      </c>
      <c r="V943" s="213">
        <v>0</v>
      </c>
      <c r="W943" s="213">
        <v>0</v>
      </c>
    </row>
    <row r="944" spans="1:23" ht="15" customHeight="1">
      <c r="C944" s="3">
        <v>10</v>
      </c>
      <c r="D944" s="15" t="s">
        <v>724</v>
      </c>
      <c r="E944" s="312" t="s">
        <v>197</v>
      </c>
      <c r="G944" s="26">
        <v>0</v>
      </c>
      <c r="H944" s="26">
        <v>2</v>
      </c>
      <c r="I944" s="26">
        <v>0</v>
      </c>
      <c r="J944" s="26">
        <v>48</v>
      </c>
      <c r="K944" s="26">
        <v>0</v>
      </c>
      <c r="L944" s="26">
        <v>0</v>
      </c>
      <c r="M944" s="26">
        <v>0</v>
      </c>
      <c r="N944" s="26">
        <v>0</v>
      </c>
      <c r="O944" s="285"/>
      <c r="P944" s="202">
        <v>928</v>
      </c>
      <c r="Q944" s="210">
        <v>10</v>
      </c>
      <c r="R944" s="205" t="s">
        <v>784</v>
      </c>
      <c r="S944" s="206" t="s">
        <v>97</v>
      </c>
      <c r="T944" s="211">
        <v>375</v>
      </c>
      <c r="U944" s="211">
        <v>0</v>
      </c>
      <c r="V944" s="213">
        <v>0</v>
      </c>
      <c r="W944" s="213">
        <v>0</v>
      </c>
    </row>
    <row r="945" spans="1:23" ht="15" customHeight="1">
      <c r="C945" s="3">
        <v>10</v>
      </c>
      <c r="D945" s="15" t="s">
        <v>725</v>
      </c>
      <c r="E945" s="312" t="s">
        <v>128</v>
      </c>
      <c r="G945" s="26">
        <v>0</v>
      </c>
      <c r="H945" s="26">
        <v>0</v>
      </c>
      <c r="I945" s="26">
        <v>0</v>
      </c>
      <c r="J945" s="26">
        <v>0</v>
      </c>
      <c r="K945" s="26">
        <v>0</v>
      </c>
      <c r="L945" s="26">
        <v>0</v>
      </c>
      <c r="M945" s="26">
        <v>0</v>
      </c>
      <c r="N945" s="26">
        <v>0</v>
      </c>
      <c r="O945" s="285"/>
      <c r="P945" s="202">
        <v>929</v>
      </c>
      <c r="Q945" s="210">
        <v>10</v>
      </c>
      <c r="R945" s="205" t="s">
        <v>785</v>
      </c>
      <c r="S945" s="206" t="s">
        <v>99</v>
      </c>
      <c r="T945" s="211">
        <v>59</v>
      </c>
      <c r="U945" s="211">
        <v>0</v>
      </c>
      <c r="V945" s="213">
        <v>114.48</v>
      </c>
      <c r="W945" s="213">
        <v>194.03</v>
      </c>
    </row>
    <row r="946" spans="1:23" ht="15" customHeight="1">
      <c r="C946" s="3">
        <v>10</v>
      </c>
      <c r="D946" s="15" t="s">
        <v>726</v>
      </c>
      <c r="E946" s="312" t="s">
        <v>200</v>
      </c>
      <c r="G946" s="26">
        <v>496</v>
      </c>
      <c r="H946" s="26">
        <v>1113</v>
      </c>
      <c r="I946" s="26">
        <v>1043</v>
      </c>
      <c r="J946" s="26">
        <v>989</v>
      </c>
      <c r="K946" s="26">
        <v>1050</v>
      </c>
      <c r="L946" s="26">
        <v>885</v>
      </c>
      <c r="M946" s="26">
        <v>1518</v>
      </c>
      <c r="N946" s="26">
        <v>1050</v>
      </c>
      <c r="O946" s="285"/>
      <c r="P946" s="202">
        <v>930</v>
      </c>
      <c r="Q946" s="210">
        <v>10</v>
      </c>
      <c r="R946" s="205" t="s">
        <v>786</v>
      </c>
      <c r="S946" s="206" t="s">
        <v>101</v>
      </c>
      <c r="T946" s="211">
        <v>0</v>
      </c>
      <c r="U946" s="211">
        <v>0</v>
      </c>
      <c r="V946" s="213">
        <v>0</v>
      </c>
      <c r="W946" s="213">
        <v>0</v>
      </c>
    </row>
    <row r="947" spans="1:23" ht="15" customHeight="1">
      <c r="C947" s="3">
        <v>10</v>
      </c>
      <c r="D947" s="15" t="s">
        <v>727</v>
      </c>
      <c r="E947" s="312" t="s">
        <v>202</v>
      </c>
      <c r="G947" s="26">
        <v>0</v>
      </c>
      <c r="H947" s="26">
        <v>0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85"/>
      <c r="P947" s="202">
        <v>931</v>
      </c>
      <c r="Q947" s="210">
        <v>10</v>
      </c>
      <c r="R947" s="205" t="s">
        <v>787</v>
      </c>
      <c r="S947" s="206" t="s">
        <v>103</v>
      </c>
      <c r="T947" s="211">
        <v>0</v>
      </c>
      <c r="U947" s="211">
        <v>0</v>
      </c>
      <c r="V947" s="213">
        <v>0</v>
      </c>
      <c r="W947" s="213">
        <v>0</v>
      </c>
    </row>
    <row r="948" spans="1:23" ht="15" customHeight="1">
      <c r="C948" s="3">
        <v>10</v>
      </c>
      <c r="D948" s="15" t="s">
        <v>728</v>
      </c>
      <c r="E948" s="312" t="s">
        <v>130</v>
      </c>
      <c r="G948" s="26">
        <v>6014</v>
      </c>
      <c r="H948" s="26">
        <v>246</v>
      </c>
      <c r="I948" s="26">
        <v>304</v>
      </c>
      <c r="J948" s="26">
        <v>223</v>
      </c>
      <c r="K948" s="26">
        <v>300</v>
      </c>
      <c r="L948" s="26">
        <v>163</v>
      </c>
      <c r="M948" s="26">
        <v>280</v>
      </c>
      <c r="N948" s="26">
        <v>300</v>
      </c>
      <c r="O948" s="285"/>
      <c r="P948" s="202">
        <v>932</v>
      </c>
      <c r="Q948" s="210">
        <v>10</v>
      </c>
      <c r="R948" s="205" t="s">
        <v>2623</v>
      </c>
      <c r="S948" s="206"/>
      <c r="T948" s="211"/>
      <c r="U948" s="211"/>
      <c r="V948" s="213"/>
      <c r="W948" s="213"/>
    </row>
    <row r="949" spans="1:23" ht="15" customHeight="1">
      <c r="C949" s="3">
        <v>10</v>
      </c>
      <c r="D949" s="15" t="s">
        <v>729</v>
      </c>
      <c r="E949" s="312" t="s">
        <v>132</v>
      </c>
      <c r="G949" s="26">
        <v>1579</v>
      </c>
      <c r="H949" s="26">
        <v>1443</v>
      </c>
      <c r="I949" s="26">
        <v>1677</v>
      </c>
      <c r="J949" s="26">
        <v>1560</v>
      </c>
      <c r="K949" s="26">
        <v>1500</v>
      </c>
      <c r="L949" s="26">
        <v>743</v>
      </c>
      <c r="M949" s="26">
        <v>1274</v>
      </c>
      <c r="N949" s="26">
        <v>1635</v>
      </c>
      <c r="O949" s="285"/>
      <c r="P949" s="202">
        <v>933</v>
      </c>
      <c r="Q949" s="210">
        <v>10</v>
      </c>
      <c r="R949" s="205" t="s">
        <v>2621</v>
      </c>
      <c r="S949" s="206"/>
      <c r="T949" s="211">
        <v>64155</v>
      </c>
      <c r="U949" s="211">
        <v>4326.88</v>
      </c>
      <c r="V949" s="213">
        <v>38798.14</v>
      </c>
      <c r="W949" s="213">
        <v>0</v>
      </c>
    </row>
    <row r="950" spans="1:23" ht="15" customHeight="1">
      <c r="C950" s="3">
        <v>10</v>
      </c>
      <c r="D950" s="15" t="s">
        <v>730</v>
      </c>
      <c r="E950" s="312" t="s">
        <v>206</v>
      </c>
      <c r="G950" s="26">
        <v>434</v>
      </c>
      <c r="H950" s="26">
        <v>160</v>
      </c>
      <c r="I950" s="26">
        <v>353</v>
      </c>
      <c r="J950" s="26">
        <v>225</v>
      </c>
      <c r="K950" s="26">
        <v>170</v>
      </c>
      <c r="L950" s="26">
        <v>83</v>
      </c>
      <c r="M950" s="26">
        <v>143</v>
      </c>
      <c r="N950" s="26">
        <v>170</v>
      </c>
      <c r="O950" s="285"/>
      <c r="P950" s="202">
        <v>934</v>
      </c>
      <c r="Q950" s="210">
        <v>10</v>
      </c>
      <c r="R950" s="205" t="s">
        <v>104</v>
      </c>
      <c r="S950" s="206"/>
      <c r="T950" s="211"/>
      <c r="U950" s="211"/>
      <c r="V950" s="213"/>
      <c r="W950" s="213"/>
    </row>
    <row r="951" spans="1:23" ht="15" customHeight="1">
      <c r="C951" s="3">
        <v>10</v>
      </c>
      <c r="D951" s="15" t="s">
        <v>731</v>
      </c>
      <c r="E951" s="312" t="s">
        <v>208</v>
      </c>
      <c r="G951" s="26">
        <v>139</v>
      </c>
      <c r="H951" s="26">
        <v>141</v>
      </c>
      <c r="I951" s="26">
        <v>534</v>
      </c>
      <c r="J951" s="26">
        <v>608</v>
      </c>
      <c r="K951" s="26">
        <v>500</v>
      </c>
      <c r="L951" s="26">
        <v>9</v>
      </c>
      <c r="M951" s="26">
        <v>16</v>
      </c>
      <c r="N951" s="26">
        <v>500</v>
      </c>
      <c r="O951" s="285"/>
      <c r="P951" s="202">
        <v>935</v>
      </c>
      <c r="Q951" s="210">
        <v>10</v>
      </c>
      <c r="R951" s="205" t="s">
        <v>2624</v>
      </c>
      <c r="S951" s="206"/>
      <c r="T951" s="211"/>
      <c r="U951" s="211"/>
      <c r="V951" s="213"/>
      <c r="W951" s="213"/>
    </row>
    <row r="952" spans="1:23" ht="15" customHeight="1">
      <c r="C952" s="3">
        <v>10</v>
      </c>
      <c r="D952" s="15" t="s">
        <v>732</v>
      </c>
      <c r="E952" s="312" t="s">
        <v>210</v>
      </c>
      <c r="G952" s="26">
        <v>8</v>
      </c>
      <c r="H952" s="26">
        <v>82</v>
      </c>
      <c r="I952" s="26">
        <v>810</v>
      </c>
      <c r="J952" s="26">
        <v>198</v>
      </c>
      <c r="K952" s="26">
        <v>300</v>
      </c>
      <c r="L952" s="26">
        <v>152</v>
      </c>
      <c r="M952" s="26">
        <v>261</v>
      </c>
      <c r="N952" s="26">
        <v>300</v>
      </c>
      <c r="O952" s="285"/>
      <c r="P952" s="202">
        <v>936</v>
      </c>
      <c r="Q952" s="210">
        <v>10</v>
      </c>
      <c r="R952" s="205" t="s">
        <v>788</v>
      </c>
      <c r="S952" s="206" t="s">
        <v>115</v>
      </c>
      <c r="T952" s="211">
        <v>1500</v>
      </c>
      <c r="U952" s="211">
        <v>0</v>
      </c>
      <c r="V952" s="213">
        <v>866.4</v>
      </c>
      <c r="W952" s="213">
        <v>57.76</v>
      </c>
    </row>
    <row r="953" spans="1:23" ht="15" customHeight="1">
      <c r="C953" s="3">
        <v>10</v>
      </c>
      <c r="D953" s="15" t="s">
        <v>733</v>
      </c>
      <c r="E953" s="312" t="s">
        <v>134</v>
      </c>
      <c r="G953" s="26">
        <v>0</v>
      </c>
      <c r="H953" s="26">
        <v>0</v>
      </c>
      <c r="I953" s="26">
        <v>0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285"/>
      <c r="P953" s="202">
        <v>937</v>
      </c>
      <c r="Q953" s="210">
        <v>10</v>
      </c>
      <c r="R953" s="205" t="s">
        <v>789</v>
      </c>
      <c r="S953" s="206" t="s">
        <v>117</v>
      </c>
      <c r="T953" s="211">
        <v>0</v>
      </c>
      <c r="U953" s="211">
        <v>0</v>
      </c>
      <c r="V953" s="213">
        <v>0</v>
      </c>
      <c r="W953" s="213">
        <v>0</v>
      </c>
    </row>
    <row r="954" spans="1:23" ht="15" customHeight="1">
      <c r="C954" s="3">
        <v>10</v>
      </c>
      <c r="D954" s="15" t="s">
        <v>734</v>
      </c>
      <c r="E954" s="312" t="s">
        <v>213</v>
      </c>
      <c r="G954" s="26">
        <v>1319</v>
      </c>
      <c r="H954" s="26">
        <v>938</v>
      </c>
      <c r="I954" s="26">
        <v>81</v>
      </c>
      <c r="J954" s="26">
        <v>575</v>
      </c>
      <c r="K954" s="26">
        <v>2500</v>
      </c>
      <c r="L954" s="26">
        <v>523</v>
      </c>
      <c r="M954" s="26">
        <v>897</v>
      </c>
      <c r="N954" s="26">
        <v>2500</v>
      </c>
      <c r="O954" s="285"/>
      <c r="P954" s="202">
        <v>938</v>
      </c>
      <c r="Q954" s="210">
        <v>10</v>
      </c>
      <c r="R954" s="205" t="s">
        <v>790</v>
      </c>
      <c r="S954" s="206" t="s">
        <v>119</v>
      </c>
      <c r="T954" s="211">
        <v>1100</v>
      </c>
      <c r="U954" s="211">
        <v>0</v>
      </c>
      <c r="V954" s="213">
        <v>395.59</v>
      </c>
      <c r="W954" s="213">
        <v>35.96</v>
      </c>
    </row>
    <row r="955" spans="1:23" ht="15" customHeight="1">
      <c r="G955" s="26"/>
      <c r="H955" s="26"/>
      <c r="I955" s="26"/>
      <c r="J955" s="26"/>
      <c r="K955" s="26"/>
      <c r="L955" s="26"/>
      <c r="M955" s="26"/>
      <c r="N955" s="26"/>
      <c r="P955" s="202">
        <v>939</v>
      </c>
      <c r="Q955" s="210">
        <v>10</v>
      </c>
      <c r="R955" s="205" t="s">
        <v>791</v>
      </c>
      <c r="S955" s="206" t="s">
        <v>121</v>
      </c>
      <c r="T955" s="211">
        <v>100</v>
      </c>
      <c r="U955" s="211">
        <v>0</v>
      </c>
      <c r="V955" s="213">
        <v>0</v>
      </c>
      <c r="W955" s="213">
        <v>0</v>
      </c>
    </row>
    <row r="956" spans="1:23" s="200" customFormat="1" ht="15" customHeight="1">
      <c r="A956" s="196" t="s">
        <v>104</v>
      </c>
      <c r="B956" s="196" t="s">
        <v>2317</v>
      </c>
      <c r="C956" s="75"/>
      <c r="D956" s="323" t="s">
        <v>2096</v>
      </c>
      <c r="E956" s="323"/>
      <c r="F956" s="324"/>
      <c r="G956" s="325">
        <f>SUM(G935:G955)</f>
        <v>10093</v>
      </c>
      <c r="H956" s="325">
        <f t="shared" ref="H956:N956" si="83">SUM(H935:H955)</f>
        <v>7838</v>
      </c>
      <c r="I956" s="325">
        <f t="shared" si="83"/>
        <v>10325</v>
      </c>
      <c r="J956" s="325">
        <f t="shared" si="83"/>
        <v>9558</v>
      </c>
      <c r="K956" s="325">
        <f t="shared" si="83"/>
        <v>9855</v>
      </c>
      <c r="L956" s="325">
        <f t="shared" si="83"/>
        <v>5429</v>
      </c>
      <c r="M956" s="325">
        <f t="shared" si="83"/>
        <v>9312</v>
      </c>
      <c r="N956" s="325">
        <f t="shared" si="83"/>
        <v>10310</v>
      </c>
      <c r="O956" s="287"/>
      <c r="P956" s="202">
        <v>940</v>
      </c>
      <c r="Q956" s="210">
        <v>10</v>
      </c>
      <c r="R956" s="205" t="s">
        <v>792</v>
      </c>
      <c r="S956" s="206" t="s">
        <v>123</v>
      </c>
      <c r="T956" s="211">
        <v>100</v>
      </c>
      <c r="U956" s="211">
        <v>0</v>
      </c>
      <c r="V956" s="213">
        <v>0</v>
      </c>
      <c r="W956" s="213">
        <v>0</v>
      </c>
    </row>
    <row r="957" spans="1:23" s="46" customFormat="1" ht="15" customHeight="1">
      <c r="A957" s="2"/>
      <c r="B957" s="2"/>
      <c r="C957" s="3"/>
      <c r="D957" s="47"/>
      <c r="E957" s="47"/>
      <c r="F957" s="191"/>
      <c r="G957" s="48"/>
      <c r="H957" s="48"/>
      <c r="I957" s="48"/>
      <c r="J957" s="48"/>
      <c r="K957" s="48"/>
      <c r="L957" s="48"/>
      <c r="M957" s="48"/>
      <c r="N957" s="48"/>
      <c r="O957" s="289"/>
      <c r="P957" s="202">
        <v>941</v>
      </c>
      <c r="Q957" s="210">
        <v>10</v>
      </c>
      <c r="R957" s="205" t="s">
        <v>793</v>
      </c>
      <c r="S957" s="206" t="s">
        <v>125</v>
      </c>
      <c r="T957" s="211">
        <v>100</v>
      </c>
      <c r="U957" s="211">
        <v>0</v>
      </c>
      <c r="V957" s="213">
        <v>0</v>
      </c>
      <c r="W957" s="213">
        <v>0</v>
      </c>
    </row>
    <row r="958" spans="1:23" ht="15" customHeight="1">
      <c r="D958" s="47" t="s">
        <v>2097</v>
      </c>
      <c r="G958" s="26"/>
      <c r="H958" s="26"/>
      <c r="I958" s="26"/>
      <c r="J958" s="26"/>
      <c r="K958" s="26"/>
      <c r="L958" s="26"/>
      <c r="M958" s="26"/>
      <c r="N958" s="26"/>
      <c r="P958" s="202">
        <v>942</v>
      </c>
      <c r="Q958" s="210">
        <v>10</v>
      </c>
      <c r="R958" s="205" t="s">
        <v>794</v>
      </c>
      <c r="S958" s="206" t="s">
        <v>106</v>
      </c>
      <c r="T958" s="211">
        <v>0</v>
      </c>
      <c r="U958" s="211">
        <v>0</v>
      </c>
      <c r="V958" s="213">
        <v>0</v>
      </c>
      <c r="W958" s="213">
        <v>0</v>
      </c>
    </row>
    <row r="959" spans="1:23" ht="15" customHeight="1">
      <c r="G959" s="26"/>
      <c r="H959" s="26"/>
      <c r="I959" s="26"/>
      <c r="J959" s="26"/>
      <c r="K959" s="26"/>
      <c r="L959" s="26"/>
      <c r="M959" s="26"/>
      <c r="N959" s="26"/>
      <c r="P959" s="202">
        <v>943</v>
      </c>
      <c r="Q959" s="210">
        <v>10</v>
      </c>
      <c r="R959" s="205" t="s">
        <v>795</v>
      </c>
      <c r="S959" s="206" t="s">
        <v>200</v>
      </c>
      <c r="T959" s="211">
        <v>100</v>
      </c>
      <c r="U959" s="211">
        <v>0</v>
      </c>
      <c r="V959" s="213">
        <v>0</v>
      </c>
      <c r="W959" s="213">
        <v>0</v>
      </c>
    </row>
    <row r="960" spans="1:23" ht="15" customHeight="1">
      <c r="C960" s="3">
        <v>10</v>
      </c>
      <c r="D960" s="15" t="s">
        <v>735</v>
      </c>
      <c r="E960" s="312" t="s">
        <v>137</v>
      </c>
      <c r="G960" s="26">
        <v>431</v>
      </c>
      <c r="H960" s="26">
        <v>444</v>
      </c>
      <c r="I960" s="26">
        <v>382</v>
      </c>
      <c r="J960" s="26">
        <v>334</v>
      </c>
      <c r="K960" s="26">
        <v>450</v>
      </c>
      <c r="L960" s="26">
        <v>243</v>
      </c>
      <c r="M960" s="26">
        <v>417</v>
      </c>
      <c r="N960" s="26">
        <v>450</v>
      </c>
      <c r="O960" s="285"/>
      <c r="P960" s="202">
        <v>944</v>
      </c>
      <c r="Q960" s="210">
        <v>10</v>
      </c>
      <c r="R960" s="205" t="s">
        <v>796</v>
      </c>
      <c r="S960" s="206" t="s">
        <v>132</v>
      </c>
      <c r="T960" s="211">
        <v>0</v>
      </c>
      <c r="U960" s="211">
        <v>0</v>
      </c>
      <c r="V960" s="213">
        <v>0</v>
      </c>
      <c r="W960" s="213">
        <v>0</v>
      </c>
    </row>
    <row r="961" spans="1:23" ht="15" customHeight="1">
      <c r="C961" s="3">
        <v>10</v>
      </c>
      <c r="D961" s="15" t="s">
        <v>736</v>
      </c>
      <c r="E961" s="312" t="s">
        <v>216</v>
      </c>
      <c r="G961" s="26">
        <v>0</v>
      </c>
      <c r="H961" s="26">
        <v>0</v>
      </c>
      <c r="I961" s="26">
        <v>0</v>
      </c>
      <c r="J961" s="26">
        <v>0</v>
      </c>
      <c r="K961" s="26">
        <v>0</v>
      </c>
      <c r="L961" s="26">
        <v>0</v>
      </c>
      <c r="M961" s="26">
        <v>0</v>
      </c>
      <c r="N961" s="26">
        <v>0</v>
      </c>
      <c r="O961" s="285"/>
      <c r="P961" s="202">
        <v>945</v>
      </c>
      <c r="Q961" s="210">
        <v>10</v>
      </c>
      <c r="R961" s="205" t="s">
        <v>797</v>
      </c>
      <c r="S961" s="206" t="s">
        <v>134</v>
      </c>
      <c r="T961" s="211">
        <v>0</v>
      </c>
      <c r="U961" s="211">
        <v>0</v>
      </c>
      <c r="V961" s="213">
        <v>0</v>
      </c>
      <c r="W961" s="213">
        <v>0</v>
      </c>
    </row>
    <row r="962" spans="1:23" ht="15" customHeight="1">
      <c r="C962" s="3">
        <v>10</v>
      </c>
      <c r="D962" s="15" t="s">
        <v>737</v>
      </c>
      <c r="E962" s="312" t="s">
        <v>139</v>
      </c>
      <c r="G962" s="26">
        <v>187</v>
      </c>
      <c r="H962" s="26">
        <v>145</v>
      </c>
      <c r="I962" s="26">
        <v>282</v>
      </c>
      <c r="J962" s="26">
        <v>475</v>
      </c>
      <c r="K962" s="26">
        <v>300</v>
      </c>
      <c r="L962" s="26">
        <v>35</v>
      </c>
      <c r="M962" s="26">
        <v>60</v>
      </c>
      <c r="N962" s="26">
        <v>300</v>
      </c>
      <c r="O962" s="285"/>
      <c r="P962" s="202">
        <v>946</v>
      </c>
      <c r="Q962" s="210">
        <v>10</v>
      </c>
      <c r="R962" s="205" t="s">
        <v>2623</v>
      </c>
      <c r="S962" s="206"/>
      <c r="T962" s="211"/>
      <c r="U962" s="211"/>
      <c r="V962" s="213"/>
      <c r="W962" s="213"/>
    </row>
    <row r="963" spans="1:23" ht="15" customHeight="1">
      <c r="C963" s="3">
        <v>10</v>
      </c>
      <c r="D963" s="15" t="s">
        <v>738</v>
      </c>
      <c r="E963" s="312" t="s">
        <v>141</v>
      </c>
      <c r="G963" s="26">
        <v>0</v>
      </c>
      <c r="H963" s="26">
        <v>0</v>
      </c>
      <c r="I963" s="26">
        <v>0</v>
      </c>
      <c r="J963" s="26">
        <v>0</v>
      </c>
      <c r="K963" s="26">
        <v>0</v>
      </c>
      <c r="L963" s="26">
        <v>0</v>
      </c>
      <c r="M963" s="26">
        <v>0</v>
      </c>
      <c r="N963" s="26">
        <v>0</v>
      </c>
      <c r="O963" s="285"/>
      <c r="P963" s="202">
        <v>947</v>
      </c>
      <c r="Q963" s="210">
        <v>10</v>
      </c>
      <c r="R963" s="205" t="s">
        <v>104</v>
      </c>
      <c r="S963" s="206"/>
      <c r="T963" s="211">
        <v>3000</v>
      </c>
      <c r="U963" s="211">
        <v>0</v>
      </c>
      <c r="V963" s="213">
        <v>1261.99</v>
      </c>
      <c r="W963" s="213">
        <v>0</v>
      </c>
    </row>
    <row r="964" spans="1:23" ht="15" customHeight="1">
      <c r="C964" s="3">
        <v>10</v>
      </c>
      <c r="D964" s="15" t="s">
        <v>739</v>
      </c>
      <c r="E964" s="312" t="s">
        <v>143</v>
      </c>
      <c r="G964" s="26">
        <v>0</v>
      </c>
      <c r="H964" s="26">
        <v>0</v>
      </c>
      <c r="I964" s="26">
        <v>0</v>
      </c>
      <c r="J964" s="26">
        <v>0</v>
      </c>
      <c r="K964" s="26">
        <v>0</v>
      </c>
      <c r="L964" s="26">
        <v>0</v>
      </c>
      <c r="M964" s="26">
        <v>0</v>
      </c>
      <c r="N964" s="26">
        <v>0</v>
      </c>
      <c r="O964" s="285"/>
      <c r="P964" s="202">
        <v>948</v>
      </c>
      <c r="Q964" s="210">
        <v>10</v>
      </c>
      <c r="R964" s="205" t="s">
        <v>135</v>
      </c>
      <c r="S964" s="206"/>
      <c r="T964" s="211"/>
      <c r="U964" s="211"/>
      <c r="V964" s="213"/>
      <c r="W964" s="213"/>
    </row>
    <row r="965" spans="1:23" ht="15" customHeight="1">
      <c r="C965" s="3">
        <v>10</v>
      </c>
      <c r="D965" s="15" t="s">
        <v>740</v>
      </c>
      <c r="E965" s="312" t="s">
        <v>145</v>
      </c>
      <c r="G965" s="26">
        <v>11502</v>
      </c>
      <c r="H965" s="26">
        <v>8562</v>
      </c>
      <c r="I965" s="26">
        <v>6694</v>
      </c>
      <c r="J965" s="26">
        <v>8632</v>
      </c>
      <c r="K965" s="26">
        <v>5500</v>
      </c>
      <c r="L965" s="26">
        <v>2718</v>
      </c>
      <c r="M965" s="26">
        <v>4660</v>
      </c>
      <c r="N965" s="26">
        <v>5995</v>
      </c>
      <c r="O965" s="285"/>
      <c r="P965" s="202">
        <v>949</v>
      </c>
      <c r="Q965" s="210">
        <v>10</v>
      </c>
      <c r="R965" s="205" t="s">
        <v>2626</v>
      </c>
      <c r="S965" s="206"/>
      <c r="T965" s="211"/>
      <c r="U965" s="211"/>
      <c r="V965" s="213"/>
      <c r="W965" s="213"/>
    </row>
    <row r="966" spans="1:23" ht="15" customHeight="1">
      <c r="C966" s="3">
        <v>10</v>
      </c>
      <c r="D966" s="15" t="s">
        <v>741</v>
      </c>
      <c r="E966" s="312" t="s">
        <v>147</v>
      </c>
      <c r="G966" s="26">
        <v>0</v>
      </c>
      <c r="H966" s="26">
        <v>0</v>
      </c>
      <c r="I966" s="26">
        <v>0</v>
      </c>
      <c r="J966" s="26">
        <v>0</v>
      </c>
      <c r="K966" s="26">
        <v>0</v>
      </c>
      <c r="L966" s="26">
        <v>0</v>
      </c>
      <c r="M966" s="26">
        <v>0</v>
      </c>
      <c r="N966" s="26">
        <v>0</v>
      </c>
      <c r="O966" s="285"/>
      <c r="P966" s="202">
        <v>950</v>
      </c>
      <c r="Q966" s="210">
        <v>10</v>
      </c>
      <c r="R966" s="205" t="s">
        <v>798</v>
      </c>
      <c r="S966" s="206" t="s">
        <v>137</v>
      </c>
      <c r="T966" s="211">
        <v>1000</v>
      </c>
      <c r="U966" s="211">
        <v>48.57</v>
      </c>
      <c r="V966" s="213">
        <v>621.89</v>
      </c>
      <c r="W966" s="213">
        <v>62.19</v>
      </c>
    </row>
    <row r="967" spans="1:23" ht="15" customHeight="1">
      <c r="C967" s="3">
        <v>10</v>
      </c>
      <c r="D967" s="15" t="s">
        <v>742</v>
      </c>
      <c r="E967" s="312" t="s">
        <v>149</v>
      </c>
      <c r="G967" s="26">
        <v>184</v>
      </c>
      <c r="H967" s="26">
        <v>0</v>
      </c>
      <c r="I967" s="26">
        <v>0</v>
      </c>
      <c r="J967" s="26">
        <v>43</v>
      </c>
      <c r="K967" s="26">
        <v>200</v>
      </c>
      <c r="L967" s="26">
        <v>0</v>
      </c>
      <c r="M967" s="26">
        <v>0</v>
      </c>
      <c r="N967" s="26">
        <v>200</v>
      </c>
      <c r="O967" s="285"/>
      <c r="P967" s="202">
        <v>951</v>
      </c>
      <c r="Q967" s="210">
        <v>10</v>
      </c>
      <c r="R967" s="205" t="s">
        <v>799</v>
      </c>
      <c r="S967" s="206" t="s">
        <v>139</v>
      </c>
      <c r="T967" s="211">
        <v>200</v>
      </c>
      <c r="U967" s="211">
        <v>0</v>
      </c>
      <c r="V967" s="213">
        <v>101.89</v>
      </c>
      <c r="W967" s="213">
        <v>50.95</v>
      </c>
    </row>
    <row r="968" spans="1:23" ht="15" customHeight="1">
      <c r="C968" s="3">
        <v>10</v>
      </c>
      <c r="D968" s="15" t="s">
        <v>743</v>
      </c>
      <c r="E968" s="312" t="s">
        <v>151</v>
      </c>
      <c r="G968" s="26">
        <v>0</v>
      </c>
      <c r="H968" s="26">
        <v>0</v>
      </c>
      <c r="I968" s="26">
        <v>0</v>
      </c>
      <c r="J968" s="26">
        <v>0</v>
      </c>
      <c r="K968" s="26">
        <v>0</v>
      </c>
      <c r="L968" s="26">
        <v>0</v>
      </c>
      <c r="M968" s="26">
        <v>0</v>
      </c>
      <c r="N968" s="26">
        <v>0</v>
      </c>
      <c r="O968" s="285"/>
      <c r="P968" s="202">
        <v>952</v>
      </c>
      <c r="Q968" s="210">
        <v>10</v>
      </c>
      <c r="R968" s="205" t="s">
        <v>800</v>
      </c>
      <c r="S968" s="206" t="s">
        <v>801</v>
      </c>
      <c r="T968" s="211">
        <v>12000</v>
      </c>
      <c r="U968" s="211">
        <v>1744.79</v>
      </c>
      <c r="V968" s="213">
        <v>5712.96</v>
      </c>
      <c r="W968" s="213">
        <v>47.61</v>
      </c>
    </row>
    <row r="969" spans="1:23" ht="15" customHeight="1">
      <c r="C969" s="3">
        <v>10</v>
      </c>
      <c r="D969" s="15" t="s">
        <v>744</v>
      </c>
      <c r="E969" s="312" t="s">
        <v>153</v>
      </c>
      <c r="G969" s="26">
        <v>59</v>
      </c>
      <c r="H969" s="26">
        <v>20</v>
      </c>
      <c r="I969" s="26">
        <v>60</v>
      </c>
      <c r="J969" s="26">
        <v>100</v>
      </c>
      <c r="K969" s="26">
        <v>0</v>
      </c>
      <c r="L969" s="26">
        <v>0</v>
      </c>
      <c r="M969" s="26">
        <v>0</v>
      </c>
      <c r="N969" s="26">
        <v>0</v>
      </c>
      <c r="O969" s="285"/>
      <c r="P969" s="202">
        <v>953</v>
      </c>
      <c r="Q969" s="210">
        <v>10</v>
      </c>
      <c r="R969" s="205" t="s">
        <v>802</v>
      </c>
      <c r="S969" s="206" t="s">
        <v>141</v>
      </c>
      <c r="T969" s="211">
        <v>0</v>
      </c>
      <c r="U969" s="211">
        <v>0</v>
      </c>
      <c r="V969" s="213">
        <v>0</v>
      </c>
      <c r="W969" s="213">
        <v>0</v>
      </c>
    </row>
    <row r="970" spans="1:23" ht="15" customHeight="1">
      <c r="C970" s="3">
        <v>10</v>
      </c>
      <c r="D970" s="15" t="s">
        <v>745</v>
      </c>
      <c r="E970" s="312" t="s">
        <v>157</v>
      </c>
      <c r="G970" s="26">
        <v>0</v>
      </c>
      <c r="H970" s="26">
        <v>0</v>
      </c>
      <c r="I970" s="26">
        <v>0</v>
      </c>
      <c r="J970" s="26">
        <v>0</v>
      </c>
      <c r="K970" s="26">
        <v>0</v>
      </c>
      <c r="L970" s="26">
        <v>0</v>
      </c>
      <c r="M970" s="26">
        <v>0</v>
      </c>
      <c r="N970" s="26">
        <v>0</v>
      </c>
      <c r="O970" s="285"/>
      <c r="P970" s="202">
        <v>954</v>
      </c>
      <c r="Q970" s="210">
        <v>10</v>
      </c>
      <c r="R970" s="205" t="s">
        <v>803</v>
      </c>
      <c r="S970" s="206" t="s">
        <v>143</v>
      </c>
      <c r="T970" s="211">
        <v>0</v>
      </c>
      <c r="U970" s="211">
        <v>0</v>
      </c>
      <c r="V970" s="213">
        <v>0</v>
      </c>
      <c r="W970" s="213">
        <v>0</v>
      </c>
    </row>
    <row r="971" spans="1:23" ht="15" customHeight="1">
      <c r="C971" s="3">
        <v>10</v>
      </c>
      <c r="D971" s="15" t="s">
        <v>746</v>
      </c>
      <c r="E971" s="312" t="s">
        <v>159</v>
      </c>
      <c r="G971" s="26">
        <v>0</v>
      </c>
      <c r="H971" s="26">
        <v>0</v>
      </c>
      <c r="I971" s="26">
        <v>0</v>
      </c>
      <c r="J971" s="26">
        <v>0</v>
      </c>
      <c r="K971" s="26">
        <v>0</v>
      </c>
      <c r="L971" s="26">
        <v>0</v>
      </c>
      <c r="M971" s="26">
        <v>0</v>
      </c>
      <c r="N971" s="26">
        <v>0</v>
      </c>
      <c r="O971" s="285"/>
      <c r="P971" s="202">
        <v>955</v>
      </c>
      <c r="Q971" s="210">
        <v>10</v>
      </c>
      <c r="R971" s="205" t="s">
        <v>804</v>
      </c>
      <c r="S971" s="206" t="s">
        <v>145</v>
      </c>
      <c r="T971" s="211">
        <v>0</v>
      </c>
      <c r="U971" s="211">
        <v>0</v>
      </c>
      <c r="V971" s="213">
        <v>0</v>
      </c>
      <c r="W971" s="213">
        <v>0</v>
      </c>
    </row>
    <row r="972" spans="1:23" ht="15" customHeight="1">
      <c r="C972" s="3">
        <v>10</v>
      </c>
      <c r="D972" s="15" t="s">
        <v>747</v>
      </c>
      <c r="E972" s="312" t="s">
        <v>162</v>
      </c>
      <c r="G972" s="26">
        <v>0</v>
      </c>
      <c r="H972" s="26">
        <v>0</v>
      </c>
      <c r="I972" s="26">
        <v>0</v>
      </c>
      <c r="J972" s="26">
        <v>0</v>
      </c>
      <c r="K972" s="26">
        <v>0</v>
      </c>
      <c r="L972" s="26">
        <v>0</v>
      </c>
      <c r="M972" s="26">
        <v>0</v>
      </c>
      <c r="N972" s="26">
        <v>0</v>
      </c>
      <c r="O972" s="285"/>
      <c r="P972" s="202">
        <v>956</v>
      </c>
      <c r="Q972" s="210">
        <v>10</v>
      </c>
      <c r="R972" s="205" t="s">
        <v>805</v>
      </c>
      <c r="S972" s="206" t="s">
        <v>147</v>
      </c>
      <c r="T972" s="211">
        <v>0</v>
      </c>
      <c r="U972" s="211">
        <v>0</v>
      </c>
      <c r="V972" s="213">
        <v>0</v>
      </c>
      <c r="W972" s="213">
        <v>0</v>
      </c>
    </row>
    <row r="973" spans="1:23" ht="15" customHeight="1">
      <c r="G973" s="26"/>
      <c r="H973" s="26"/>
      <c r="I973" s="26"/>
      <c r="J973" s="26"/>
      <c r="K973" s="26"/>
      <c r="L973" s="26"/>
      <c r="M973" s="26"/>
      <c r="N973" s="26"/>
      <c r="P973" s="202">
        <v>957</v>
      </c>
      <c r="Q973" s="210">
        <v>10</v>
      </c>
      <c r="R973" s="205" t="s">
        <v>806</v>
      </c>
      <c r="S973" s="206" t="s">
        <v>151</v>
      </c>
      <c r="T973" s="211">
        <v>500</v>
      </c>
      <c r="U973" s="211">
        <v>0</v>
      </c>
      <c r="V973" s="213">
        <v>0</v>
      </c>
      <c r="W973" s="213">
        <v>0</v>
      </c>
    </row>
    <row r="974" spans="1:23" s="22" customFormat="1" ht="15" customHeight="1">
      <c r="A974" s="2" t="s">
        <v>135</v>
      </c>
      <c r="B974" s="2" t="s">
        <v>2317</v>
      </c>
      <c r="C974" s="3"/>
      <c r="D974" s="323" t="s">
        <v>2098</v>
      </c>
      <c r="E974" s="323"/>
      <c r="F974" s="324"/>
      <c r="G974" s="325">
        <f>SUM(G958:G973)</f>
        <v>12363</v>
      </c>
      <c r="H974" s="325">
        <f t="shared" ref="H974:N974" si="84">SUM(H958:H973)</f>
        <v>9171</v>
      </c>
      <c r="I974" s="325">
        <f t="shared" si="84"/>
        <v>7418</v>
      </c>
      <c r="J974" s="325">
        <f t="shared" si="84"/>
        <v>9584</v>
      </c>
      <c r="K974" s="325">
        <f t="shared" si="84"/>
        <v>6450</v>
      </c>
      <c r="L974" s="325">
        <f t="shared" si="84"/>
        <v>2996</v>
      </c>
      <c r="M974" s="325">
        <f t="shared" si="84"/>
        <v>5137</v>
      </c>
      <c r="N974" s="325">
        <f t="shared" si="84"/>
        <v>6945</v>
      </c>
      <c r="O974" s="290"/>
      <c r="P974" s="202">
        <v>958</v>
      </c>
      <c r="Q974" s="210">
        <v>10</v>
      </c>
      <c r="R974" s="205" t="s">
        <v>807</v>
      </c>
      <c r="S974" s="206" t="s">
        <v>153</v>
      </c>
      <c r="T974" s="211">
        <v>2000</v>
      </c>
      <c r="U974" s="211">
        <v>0</v>
      </c>
      <c r="V974" s="213">
        <v>1181.52</v>
      </c>
      <c r="W974" s="213">
        <v>59.08</v>
      </c>
    </row>
    <row r="975" spans="1:23" s="46" customFormat="1" ht="15" customHeight="1">
      <c r="A975" s="2"/>
      <c r="B975" s="2"/>
      <c r="C975" s="3"/>
      <c r="D975" s="47"/>
      <c r="E975" s="47"/>
      <c r="F975" s="191"/>
      <c r="G975" s="48"/>
      <c r="H975" s="48"/>
      <c r="I975" s="48"/>
      <c r="J975" s="48"/>
      <c r="K975" s="48"/>
      <c r="L975" s="48"/>
      <c r="M975" s="48"/>
      <c r="N975" s="48"/>
      <c r="O975" s="289"/>
      <c r="P975" s="202">
        <v>959</v>
      </c>
      <c r="Q975" s="210">
        <v>10</v>
      </c>
      <c r="R975" s="205" t="s">
        <v>808</v>
      </c>
      <c r="S975" s="206" t="s">
        <v>809</v>
      </c>
      <c r="T975" s="211">
        <v>55000</v>
      </c>
      <c r="U975" s="211">
        <v>0</v>
      </c>
      <c r="V975" s="213">
        <v>60805.7</v>
      </c>
      <c r="W975" s="213">
        <v>110.56</v>
      </c>
    </row>
    <row r="976" spans="1:23" ht="15" customHeight="1">
      <c r="D976" s="47" t="s">
        <v>2099</v>
      </c>
      <c r="G976" s="26"/>
      <c r="H976" s="26"/>
      <c r="I976" s="26"/>
      <c r="J976" s="26"/>
      <c r="K976" s="26"/>
      <c r="L976" s="26"/>
      <c r="M976" s="26"/>
      <c r="N976" s="26"/>
      <c r="P976" s="202">
        <v>960</v>
      </c>
      <c r="Q976" s="210">
        <v>10</v>
      </c>
      <c r="R976" s="205" t="s">
        <v>810</v>
      </c>
      <c r="S976" s="206" t="s">
        <v>157</v>
      </c>
      <c r="T976" s="211">
        <v>0</v>
      </c>
      <c r="U976" s="211">
        <v>0</v>
      </c>
      <c r="V976" s="213">
        <v>0</v>
      </c>
      <c r="W976" s="213">
        <v>0</v>
      </c>
    </row>
    <row r="977" spans="3:23" ht="15" customHeight="1">
      <c r="G977" s="26"/>
      <c r="H977" s="26"/>
      <c r="I977" s="26"/>
      <c r="J977" s="26"/>
      <c r="K977" s="26"/>
      <c r="L977" s="26"/>
      <c r="M977" s="26"/>
      <c r="N977" s="26"/>
      <c r="P977" s="202">
        <v>961</v>
      </c>
      <c r="Q977" s="210">
        <v>10</v>
      </c>
      <c r="R977" s="205" t="s">
        <v>811</v>
      </c>
      <c r="S977" s="206" t="s">
        <v>812</v>
      </c>
      <c r="T977" s="211">
        <v>1000</v>
      </c>
      <c r="U977" s="211">
        <v>-156</v>
      </c>
      <c r="V977" s="213">
        <v>1644</v>
      </c>
      <c r="W977" s="213">
        <v>164.4</v>
      </c>
    </row>
    <row r="978" spans="3:23" ht="15" customHeight="1">
      <c r="C978" s="3">
        <v>10</v>
      </c>
      <c r="D978" s="15" t="s">
        <v>748</v>
      </c>
      <c r="E978" s="312" t="s">
        <v>433</v>
      </c>
      <c r="G978" s="26">
        <v>1043</v>
      </c>
      <c r="H978" s="26">
        <v>604</v>
      </c>
      <c r="I978" s="26">
        <v>1121</v>
      </c>
      <c r="J978" s="26">
        <v>868</v>
      </c>
      <c r="K978" s="26">
        <v>1000</v>
      </c>
      <c r="L978" s="26">
        <v>0</v>
      </c>
      <c r="M978" s="26">
        <v>0</v>
      </c>
      <c r="N978" s="26">
        <v>1000</v>
      </c>
      <c r="O978" s="285"/>
      <c r="P978" s="202">
        <v>962</v>
      </c>
      <c r="Q978" s="210">
        <v>10</v>
      </c>
      <c r="R978" s="205" t="s">
        <v>813</v>
      </c>
      <c r="S978" s="206" t="s">
        <v>159</v>
      </c>
      <c r="T978" s="211">
        <v>0</v>
      </c>
      <c r="U978" s="211">
        <v>0</v>
      </c>
      <c r="V978" s="213">
        <v>0</v>
      </c>
      <c r="W978" s="213">
        <v>0</v>
      </c>
    </row>
    <row r="979" spans="3:23" ht="15" customHeight="1">
      <c r="C979" s="3">
        <v>10</v>
      </c>
      <c r="D979" s="15" t="s">
        <v>749</v>
      </c>
      <c r="E979" s="312" t="s">
        <v>435</v>
      </c>
      <c r="G979" s="26">
        <v>0</v>
      </c>
      <c r="H979" s="26">
        <v>0</v>
      </c>
      <c r="I979" s="26">
        <v>0</v>
      </c>
      <c r="J979" s="26">
        <v>0</v>
      </c>
      <c r="K979" s="26">
        <v>0</v>
      </c>
      <c r="L979" s="26">
        <v>0</v>
      </c>
      <c r="M979" s="26">
        <v>0</v>
      </c>
      <c r="N979" s="26">
        <v>0</v>
      </c>
      <c r="O979" s="285"/>
      <c r="P979" s="202">
        <v>963</v>
      </c>
      <c r="Q979" s="210">
        <v>10</v>
      </c>
      <c r="R979" s="205" t="s">
        <v>814</v>
      </c>
      <c r="S979" s="206" t="s">
        <v>229</v>
      </c>
      <c r="T979" s="211">
        <v>0</v>
      </c>
      <c r="U979" s="211">
        <v>0</v>
      </c>
      <c r="V979" s="213">
        <v>0</v>
      </c>
      <c r="W979" s="213">
        <v>0</v>
      </c>
    </row>
    <row r="980" spans="3:23" ht="15" customHeight="1">
      <c r="C980" s="3">
        <v>10</v>
      </c>
      <c r="D980" s="15" t="s">
        <v>750</v>
      </c>
      <c r="E980" s="312" t="s">
        <v>232</v>
      </c>
      <c r="G980" s="26">
        <v>0</v>
      </c>
      <c r="H980" s="26">
        <v>153</v>
      </c>
      <c r="I980" s="26">
        <v>0</v>
      </c>
      <c r="J980" s="26">
        <v>25</v>
      </c>
      <c r="K980" s="26">
        <v>0</v>
      </c>
      <c r="L980" s="26">
        <v>50</v>
      </c>
      <c r="M980" s="26">
        <v>86</v>
      </c>
      <c r="N980" s="26">
        <v>0</v>
      </c>
      <c r="O980" s="285"/>
      <c r="P980" s="202">
        <v>964</v>
      </c>
      <c r="Q980" s="210">
        <v>10</v>
      </c>
      <c r="R980" s="205" t="s">
        <v>815</v>
      </c>
      <c r="S980" s="206" t="s">
        <v>162</v>
      </c>
      <c r="T980" s="211">
        <v>50</v>
      </c>
      <c r="U980" s="211">
        <v>0</v>
      </c>
      <c r="V980" s="213">
        <v>0</v>
      </c>
      <c r="W980" s="213">
        <v>0</v>
      </c>
    </row>
    <row r="981" spans="3:23" ht="15" customHeight="1">
      <c r="C981" s="3">
        <v>10</v>
      </c>
      <c r="D981" s="15" t="s">
        <v>751</v>
      </c>
      <c r="E981" s="312" t="s">
        <v>234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85"/>
      <c r="P981" s="202">
        <v>965</v>
      </c>
      <c r="Q981" s="210">
        <v>10</v>
      </c>
      <c r="R981" s="205" t="s">
        <v>816</v>
      </c>
      <c r="S981" s="206" t="s">
        <v>817</v>
      </c>
      <c r="T981" s="211">
        <v>3500</v>
      </c>
      <c r="U981" s="211">
        <v>0</v>
      </c>
      <c r="V981" s="213">
        <v>0</v>
      </c>
      <c r="W981" s="213">
        <v>0</v>
      </c>
    </row>
    <row r="982" spans="3:23" ht="15" customHeight="1">
      <c r="C982" s="3">
        <v>10</v>
      </c>
      <c r="D982" s="15" t="s">
        <v>752</v>
      </c>
      <c r="E982" s="312" t="s">
        <v>236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85"/>
      <c r="P982" s="202">
        <v>966</v>
      </c>
      <c r="Q982" s="210">
        <v>10</v>
      </c>
      <c r="R982" s="205" t="s">
        <v>818</v>
      </c>
      <c r="S982" s="206" t="s">
        <v>819</v>
      </c>
      <c r="T982" s="211">
        <v>3500</v>
      </c>
      <c r="U982" s="211">
        <v>0</v>
      </c>
      <c r="V982" s="213">
        <v>4145</v>
      </c>
      <c r="W982" s="213">
        <v>118.43</v>
      </c>
    </row>
    <row r="983" spans="3:23" ht="15" customHeight="1">
      <c r="C983" s="3">
        <v>10</v>
      </c>
      <c r="D983" s="15" t="s">
        <v>753</v>
      </c>
      <c r="E983" s="312" t="s">
        <v>329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85"/>
      <c r="P983" s="202">
        <v>967</v>
      </c>
      <c r="Q983" s="210">
        <v>10</v>
      </c>
      <c r="R983" s="205" t="s">
        <v>2623</v>
      </c>
      <c r="S983" s="206"/>
      <c r="T983" s="211"/>
      <c r="U983" s="211"/>
      <c r="V983" s="213"/>
      <c r="W983" s="213"/>
    </row>
    <row r="984" spans="3:23" ht="15" customHeight="1">
      <c r="C984" s="3">
        <v>10</v>
      </c>
      <c r="D984" s="15" t="s">
        <v>754</v>
      </c>
      <c r="E984" s="312" t="s">
        <v>165</v>
      </c>
      <c r="G984" s="26">
        <v>0</v>
      </c>
      <c r="H984" s="26">
        <v>0</v>
      </c>
      <c r="I984" s="26">
        <v>0</v>
      </c>
      <c r="J984" s="26">
        <v>0</v>
      </c>
      <c r="K984" s="26">
        <v>0</v>
      </c>
      <c r="L984" s="26">
        <v>0</v>
      </c>
      <c r="M984" s="26">
        <v>0</v>
      </c>
      <c r="N984" s="26">
        <v>0</v>
      </c>
      <c r="O984" s="285"/>
      <c r="P984" s="202">
        <v>968</v>
      </c>
      <c r="Q984" s="210">
        <v>10</v>
      </c>
      <c r="R984" s="205" t="s">
        <v>135</v>
      </c>
      <c r="S984" s="206"/>
      <c r="T984" s="211">
        <v>78750</v>
      </c>
      <c r="U984" s="211">
        <v>1637.36</v>
      </c>
      <c r="V984" s="213">
        <v>74212.960000000006</v>
      </c>
      <c r="W984" s="213">
        <v>0</v>
      </c>
    </row>
    <row r="985" spans="3:23" ht="15" customHeight="1">
      <c r="C985" s="3">
        <v>10</v>
      </c>
      <c r="D985" s="15" t="s">
        <v>755</v>
      </c>
      <c r="E985" s="312" t="s">
        <v>167</v>
      </c>
      <c r="G985" s="26">
        <v>724</v>
      </c>
      <c r="H985" s="26">
        <v>1105</v>
      </c>
      <c r="I985" s="26">
        <v>729</v>
      </c>
      <c r="J985" s="26">
        <v>558</v>
      </c>
      <c r="K985" s="26">
        <v>3000</v>
      </c>
      <c r="L985" s="26">
        <v>0</v>
      </c>
      <c r="M985" s="26">
        <v>0</v>
      </c>
      <c r="N985" s="26">
        <v>3000</v>
      </c>
      <c r="O985" s="285"/>
      <c r="P985" s="202">
        <v>969</v>
      </c>
      <c r="Q985" s="210">
        <v>10</v>
      </c>
      <c r="R985" s="205" t="s">
        <v>163</v>
      </c>
      <c r="S985" s="206"/>
      <c r="T985" s="211"/>
      <c r="U985" s="211"/>
      <c r="V985" s="213"/>
      <c r="W985" s="213"/>
    </row>
    <row r="986" spans="3:23" ht="15" customHeight="1">
      <c r="C986" s="3">
        <v>10</v>
      </c>
      <c r="D986" s="15" t="s">
        <v>756</v>
      </c>
      <c r="E986" s="312" t="s">
        <v>169</v>
      </c>
      <c r="G986" s="26">
        <v>885</v>
      </c>
      <c r="H986" s="26">
        <v>1736</v>
      </c>
      <c r="I986" s="26">
        <v>1074</v>
      </c>
      <c r="J986" s="26">
        <v>1078</v>
      </c>
      <c r="K986" s="26">
        <v>1200</v>
      </c>
      <c r="L986" s="26">
        <v>145</v>
      </c>
      <c r="M986" s="26">
        <v>249</v>
      </c>
      <c r="N986" s="26">
        <v>1200</v>
      </c>
      <c r="O986" s="285"/>
      <c r="P986" s="202">
        <v>970</v>
      </c>
      <c r="Q986" s="210">
        <v>10</v>
      </c>
      <c r="R986" s="205" t="s">
        <v>2627</v>
      </c>
      <c r="S986" s="206"/>
      <c r="T986" s="211"/>
      <c r="U986" s="211"/>
      <c r="V986" s="213"/>
      <c r="W986" s="213"/>
    </row>
    <row r="987" spans="3:23" ht="15" customHeight="1">
      <c r="C987" s="3">
        <v>10</v>
      </c>
      <c r="D987" s="15" t="s">
        <v>757</v>
      </c>
      <c r="E987" s="312" t="s">
        <v>171</v>
      </c>
      <c r="G987" s="26">
        <v>64</v>
      </c>
      <c r="H987" s="26">
        <v>354</v>
      </c>
      <c r="I987" s="26">
        <v>711</v>
      </c>
      <c r="J987" s="26">
        <v>605</v>
      </c>
      <c r="K987" s="26">
        <v>700</v>
      </c>
      <c r="L987" s="26">
        <v>423</v>
      </c>
      <c r="M987" s="26">
        <v>725</v>
      </c>
      <c r="N987" s="26">
        <v>700</v>
      </c>
      <c r="O987" s="285"/>
      <c r="P987" s="202">
        <v>971</v>
      </c>
      <c r="Q987" s="210">
        <v>10</v>
      </c>
      <c r="R987" s="205" t="s">
        <v>820</v>
      </c>
      <c r="S987" s="206" t="s">
        <v>329</v>
      </c>
      <c r="T987" s="211">
        <v>0</v>
      </c>
      <c r="U987" s="211">
        <v>0</v>
      </c>
      <c r="V987" s="213">
        <v>0</v>
      </c>
      <c r="W987" s="213">
        <v>0</v>
      </c>
    </row>
    <row r="988" spans="3:23" ht="15" customHeight="1">
      <c r="C988" s="3">
        <v>10</v>
      </c>
      <c r="D988" s="15" t="s">
        <v>758</v>
      </c>
      <c r="E988" s="312" t="s">
        <v>173</v>
      </c>
      <c r="G988" s="26">
        <v>373</v>
      </c>
      <c r="H988" s="26">
        <v>3531</v>
      </c>
      <c r="I988" s="26">
        <v>2852</v>
      </c>
      <c r="J988" s="26">
        <v>2095</v>
      </c>
      <c r="K988" s="26">
        <v>2000</v>
      </c>
      <c r="L988" s="26">
        <v>3727</v>
      </c>
      <c r="M988" s="26">
        <v>6390</v>
      </c>
      <c r="N988" s="26">
        <v>2180</v>
      </c>
      <c r="O988" s="285"/>
      <c r="P988" s="202">
        <v>972</v>
      </c>
      <c r="Q988" s="210">
        <v>10</v>
      </c>
      <c r="R988" s="205" t="s">
        <v>821</v>
      </c>
      <c r="S988" s="206" t="s">
        <v>165</v>
      </c>
      <c r="T988" s="211">
        <v>1500</v>
      </c>
      <c r="U988" s="211">
        <v>0</v>
      </c>
      <c r="V988" s="213">
        <v>0</v>
      </c>
      <c r="W988" s="213">
        <v>0</v>
      </c>
    </row>
    <row r="989" spans="3:23" ht="15" customHeight="1">
      <c r="C989" s="3">
        <v>10</v>
      </c>
      <c r="D989" s="15" t="s">
        <v>759</v>
      </c>
      <c r="E989" s="312" t="s">
        <v>175</v>
      </c>
      <c r="G989" s="26">
        <v>0</v>
      </c>
      <c r="H989" s="26">
        <v>0</v>
      </c>
      <c r="I989" s="26">
        <v>0</v>
      </c>
      <c r="J989" s="26">
        <v>0</v>
      </c>
      <c r="K989" s="26">
        <v>0</v>
      </c>
      <c r="L989" s="26">
        <v>0</v>
      </c>
      <c r="M989" s="26">
        <v>0</v>
      </c>
      <c r="N989" s="26">
        <v>0</v>
      </c>
      <c r="O989" s="285"/>
      <c r="P989" s="202">
        <v>973</v>
      </c>
      <c r="Q989" s="210">
        <v>10</v>
      </c>
      <c r="R989" s="205" t="s">
        <v>822</v>
      </c>
      <c r="S989" s="206" t="s">
        <v>167</v>
      </c>
      <c r="T989" s="211">
        <v>0</v>
      </c>
      <c r="U989" s="211">
        <v>0</v>
      </c>
      <c r="V989" s="213">
        <v>0</v>
      </c>
      <c r="W989" s="213">
        <v>0</v>
      </c>
    </row>
    <row r="990" spans="3:23" ht="15" customHeight="1">
      <c r="C990" s="3">
        <v>10</v>
      </c>
      <c r="D990" s="15" t="s">
        <v>760</v>
      </c>
      <c r="E990" s="312" t="s">
        <v>244</v>
      </c>
      <c r="G990" s="26">
        <v>0</v>
      </c>
      <c r="H990" s="26">
        <v>0</v>
      </c>
      <c r="I990" s="26">
        <v>0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285"/>
      <c r="P990" s="202">
        <v>974</v>
      </c>
      <c r="Q990" s="210">
        <v>10</v>
      </c>
      <c r="R990" s="205" t="s">
        <v>823</v>
      </c>
      <c r="S990" s="206" t="s">
        <v>169</v>
      </c>
      <c r="T990" s="211">
        <v>6000</v>
      </c>
      <c r="U990" s="211">
        <v>220.42</v>
      </c>
      <c r="V990" s="213">
        <v>4707.01</v>
      </c>
      <c r="W990" s="213">
        <v>78.45</v>
      </c>
    </row>
    <row r="991" spans="3:23" ht="15" customHeight="1">
      <c r="C991" s="3">
        <v>10</v>
      </c>
      <c r="D991" s="15" t="s">
        <v>761</v>
      </c>
      <c r="E991" s="312" t="s">
        <v>762</v>
      </c>
      <c r="G991" s="26">
        <v>0</v>
      </c>
      <c r="H991" s="26">
        <v>0</v>
      </c>
      <c r="I991" s="26">
        <v>0</v>
      </c>
      <c r="J991" s="26">
        <v>0</v>
      </c>
      <c r="K991" s="26">
        <v>0</v>
      </c>
      <c r="L991" s="26">
        <v>0</v>
      </c>
      <c r="M991" s="26">
        <v>0</v>
      </c>
      <c r="N991" s="26">
        <v>0</v>
      </c>
      <c r="O991" s="285"/>
      <c r="P991" s="202">
        <v>975</v>
      </c>
      <c r="Q991" s="210">
        <v>10</v>
      </c>
      <c r="R991" s="205" t="s">
        <v>824</v>
      </c>
      <c r="S991" s="206" t="s">
        <v>173</v>
      </c>
      <c r="T991" s="211">
        <v>0</v>
      </c>
      <c r="U991" s="211">
        <v>0</v>
      </c>
      <c r="V991" s="213">
        <v>0</v>
      </c>
      <c r="W991" s="213">
        <v>0</v>
      </c>
    </row>
    <row r="992" spans="3:23" ht="15" customHeight="1">
      <c r="C992" s="3">
        <v>10</v>
      </c>
      <c r="D992" s="15" t="s">
        <v>763</v>
      </c>
      <c r="E992" s="312" t="s">
        <v>1463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85"/>
      <c r="P992" s="202">
        <v>976</v>
      </c>
      <c r="Q992" s="210">
        <v>10</v>
      </c>
      <c r="R992" s="205" t="s">
        <v>825</v>
      </c>
      <c r="S992" s="206" t="s">
        <v>175</v>
      </c>
      <c r="T992" s="211">
        <v>0</v>
      </c>
      <c r="U992" s="211">
        <v>0</v>
      </c>
      <c r="V992" s="213">
        <v>0</v>
      </c>
      <c r="W992" s="213">
        <v>0</v>
      </c>
    </row>
    <row r="993" spans="1:23" ht="15" customHeight="1">
      <c r="G993" s="26"/>
      <c r="H993" s="26"/>
      <c r="I993" s="26"/>
      <c r="J993" s="26"/>
      <c r="K993" s="26"/>
      <c r="L993" s="26"/>
      <c r="M993" s="26"/>
      <c r="N993" s="26"/>
      <c r="P993" s="202">
        <v>977</v>
      </c>
      <c r="Q993" s="210">
        <v>10</v>
      </c>
      <c r="R993" s="205" t="s">
        <v>826</v>
      </c>
      <c r="S993" s="206" t="s">
        <v>244</v>
      </c>
      <c r="T993" s="211">
        <v>0</v>
      </c>
      <c r="U993" s="211">
        <v>0</v>
      </c>
      <c r="V993" s="213">
        <v>0</v>
      </c>
      <c r="W993" s="213">
        <v>0</v>
      </c>
    </row>
    <row r="994" spans="1:23" s="23" customFormat="1" ht="15" customHeight="1">
      <c r="A994" s="2" t="s">
        <v>163</v>
      </c>
      <c r="B994" s="2" t="s">
        <v>2317</v>
      </c>
      <c r="C994" s="3"/>
      <c r="D994" s="323" t="s">
        <v>2100</v>
      </c>
      <c r="E994" s="323"/>
      <c r="F994" s="324"/>
      <c r="G994" s="325">
        <f>SUM(G976:G993)</f>
        <v>3089</v>
      </c>
      <c r="H994" s="325">
        <f t="shared" ref="H994:N994" si="85">SUM(H976:H993)</f>
        <v>7483</v>
      </c>
      <c r="I994" s="325">
        <f t="shared" si="85"/>
        <v>6487</v>
      </c>
      <c r="J994" s="325">
        <f t="shared" si="85"/>
        <v>5229</v>
      </c>
      <c r="K994" s="325">
        <f t="shared" si="85"/>
        <v>7900</v>
      </c>
      <c r="L994" s="325">
        <f t="shared" si="85"/>
        <v>4345</v>
      </c>
      <c r="M994" s="325">
        <f t="shared" si="85"/>
        <v>7450</v>
      </c>
      <c r="N994" s="325">
        <f t="shared" si="85"/>
        <v>8080</v>
      </c>
      <c r="O994" s="291"/>
      <c r="P994" s="202">
        <v>978</v>
      </c>
      <c r="Q994" s="210">
        <v>10</v>
      </c>
      <c r="R994" s="205" t="s">
        <v>2623</v>
      </c>
      <c r="S994" s="206"/>
      <c r="T994" s="211"/>
      <c r="U994" s="211"/>
      <c r="V994" s="213"/>
      <c r="W994" s="213"/>
    </row>
    <row r="995" spans="1:23" s="46" customFormat="1" ht="15" customHeight="1">
      <c r="A995" s="2"/>
      <c r="B995" s="2"/>
      <c r="C995" s="3"/>
      <c r="D995" s="47"/>
      <c r="E995" s="47"/>
      <c r="F995" s="191"/>
      <c r="G995" s="48"/>
      <c r="H995" s="48"/>
      <c r="I995" s="48"/>
      <c r="J995" s="48"/>
      <c r="K995" s="48"/>
      <c r="L995" s="48"/>
      <c r="M995" s="48"/>
      <c r="N995" s="48"/>
      <c r="O995" s="289"/>
      <c r="P995" s="202">
        <v>979</v>
      </c>
      <c r="Q995" s="210">
        <v>10</v>
      </c>
      <c r="R995" s="205" t="s">
        <v>163</v>
      </c>
      <c r="S995" s="206"/>
      <c r="T995" s="211">
        <v>7500</v>
      </c>
      <c r="U995" s="211">
        <v>220.42</v>
      </c>
      <c r="V995" s="213">
        <v>4707.01</v>
      </c>
      <c r="W995" s="213">
        <v>0</v>
      </c>
    </row>
    <row r="996" spans="1:23" ht="15" customHeight="1">
      <c r="D996" s="47" t="s">
        <v>2101</v>
      </c>
      <c r="G996" s="26"/>
      <c r="H996" s="26"/>
      <c r="I996" s="26"/>
      <c r="J996" s="26"/>
      <c r="K996" s="26"/>
      <c r="L996" s="26"/>
      <c r="M996" s="26"/>
      <c r="N996" s="26"/>
      <c r="P996" s="202">
        <v>980</v>
      </c>
      <c r="Q996" s="210">
        <v>10</v>
      </c>
      <c r="R996" s="205" t="s">
        <v>245</v>
      </c>
      <c r="S996" s="206"/>
      <c r="T996" s="211"/>
      <c r="U996" s="211"/>
      <c r="V996" s="213"/>
      <c r="W996" s="213"/>
    </row>
    <row r="997" spans="1:23" ht="15" customHeight="1">
      <c r="G997" s="26"/>
      <c r="H997" s="26"/>
      <c r="I997" s="26"/>
      <c r="J997" s="26"/>
      <c r="K997" s="26"/>
      <c r="L997" s="26"/>
      <c r="M997" s="26"/>
      <c r="N997" s="26"/>
      <c r="P997" s="202">
        <v>981</v>
      </c>
      <c r="Q997" s="210">
        <v>10</v>
      </c>
      <c r="R997" s="205" t="s">
        <v>2628</v>
      </c>
      <c r="S997" s="206"/>
      <c r="T997" s="211"/>
      <c r="U997" s="211"/>
      <c r="V997" s="213"/>
      <c r="W997" s="213"/>
    </row>
    <row r="998" spans="1:23" ht="15" customHeight="1">
      <c r="C998" s="3">
        <v>10</v>
      </c>
      <c r="D998" s="15" t="s">
        <v>765</v>
      </c>
      <c r="E998" s="312" t="s">
        <v>329</v>
      </c>
      <c r="G998" s="26">
        <v>0</v>
      </c>
      <c r="H998" s="26">
        <v>5422</v>
      </c>
      <c r="I998" s="26">
        <v>6393</v>
      </c>
      <c r="J998" s="26">
        <v>0</v>
      </c>
      <c r="K998" s="26">
        <v>0</v>
      </c>
      <c r="L998" s="26">
        <v>0</v>
      </c>
      <c r="M998" s="26">
        <v>0</v>
      </c>
      <c r="N998" s="26">
        <v>0</v>
      </c>
      <c r="O998" s="285"/>
      <c r="P998" s="202">
        <v>982</v>
      </c>
      <c r="Q998" s="210">
        <v>10</v>
      </c>
      <c r="R998" s="205" t="s">
        <v>827</v>
      </c>
      <c r="S998" s="206" t="s">
        <v>329</v>
      </c>
      <c r="T998" s="211">
        <v>0</v>
      </c>
      <c r="U998" s="211">
        <v>0</v>
      </c>
      <c r="V998" s="213">
        <v>0</v>
      </c>
      <c r="W998" s="213">
        <v>0</v>
      </c>
    </row>
    <row r="999" spans="1:23" ht="15" customHeight="1">
      <c r="C999" s="3">
        <v>10</v>
      </c>
      <c r="D999" s="15" t="s">
        <v>766</v>
      </c>
      <c r="E999" s="312" t="s">
        <v>165</v>
      </c>
      <c r="G999" s="26">
        <v>0</v>
      </c>
      <c r="H999" s="26">
        <v>0</v>
      </c>
      <c r="I999" s="26">
        <v>0</v>
      </c>
      <c r="J999" s="26">
        <v>0</v>
      </c>
      <c r="K999" s="26">
        <v>0</v>
      </c>
      <c r="L999" s="26">
        <v>0</v>
      </c>
      <c r="M999" s="26">
        <v>0</v>
      </c>
      <c r="N999" s="26">
        <v>0</v>
      </c>
      <c r="O999" s="285"/>
      <c r="P999" s="202">
        <v>983</v>
      </c>
      <c r="Q999" s="210">
        <v>10</v>
      </c>
      <c r="R999" s="205" t="s">
        <v>828</v>
      </c>
      <c r="S999" s="206" t="s">
        <v>165</v>
      </c>
      <c r="T999" s="211">
        <v>0</v>
      </c>
      <c r="U999" s="211">
        <v>0</v>
      </c>
      <c r="V999" s="213">
        <v>557.95000000000005</v>
      </c>
      <c r="W999" s="213">
        <v>0</v>
      </c>
    </row>
    <row r="1000" spans="1:23" ht="15" customHeight="1">
      <c r="C1000" s="3">
        <v>10</v>
      </c>
      <c r="D1000" s="15" t="s">
        <v>767</v>
      </c>
      <c r="E1000" s="312" t="s">
        <v>167</v>
      </c>
      <c r="G1000" s="26">
        <v>0</v>
      </c>
      <c r="H1000" s="26">
        <v>0</v>
      </c>
      <c r="I1000" s="26">
        <v>0</v>
      </c>
      <c r="J1000" s="26">
        <v>0</v>
      </c>
      <c r="K1000" s="26">
        <v>0</v>
      </c>
      <c r="L1000" s="26">
        <v>0</v>
      </c>
      <c r="M1000" s="26">
        <v>0</v>
      </c>
      <c r="N1000" s="26">
        <v>0</v>
      </c>
      <c r="O1000" s="285"/>
      <c r="P1000" s="202">
        <v>984</v>
      </c>
      <c r="Q1000" s="210">
        <v>10</v>
      </c>
      <c r="R1000" s="205" t="s">
        <v>829</v>
      </c>
      <c r="S1000" s="206" t="s">
        <v>167</v>
      </c>
      <c r="T1000" s="211">
        <v>500</v>
      </c>
      <c r="U1000" s="211">
        <v>0</v>
      </c>
      <c r="V1000" s="213">
        <v>0</v>
      </c>
      <c r="W1000" s="213">
        <v>0</v>
      </c>
    </row>
    <row r="1001" spans="1:23" ht="15" customHeight="1">
      <c r="C1001" s="3">
        <v>10</v>
      </c>
      <c r="D1001" s="15" t="s">
        <v>768</v>
      </c>
      <c r="E1001" s="312" t="s">
        <v>247</v>
      </c>
      <c r="G1001" s="26">
        <v>0</v>
      </c>
      <c r="H1001" s="26">
        <v>0</v>
      </c>
      <c r="I1001" s="26">
        <v>0</v>
      </c>
      <c r="J1001" s="26">
        <v>0</v>
      </c>
      <c r="K1001" s="26">
        <v>0</v>
      </c>
      <c r="L1001" s="26">
        <v>0</v>
      </c>
      <c r="M1001" s="26">
        <v>0</v>
      </c>
      <c r="N1001" s="26">
        <v>14750</v>
      </c>
      <c r="O1001" s="285" t="s">
        <v>3063</v>
      </c>
      <c r="P1001" s="202">
        <v>985</v>
      </c>
      <c r="Q1001" s="210">
        <v>10</v>
      </c>
      <c r="R1001" s="205" t="s">
        <v>830</v>
      </c>
      <c r="S1001" s="206" t="s">
        <v>247</v>
      </c>
      <c r="T1001" s="211">
        <v>500</v>
      </c>
      <c r="U1001" s="211">
        <v>0</v>
      </c>
      <c r="V1001" s="213">
        <v>0</v>
      </c>
      <c r="W1001" s="213">
        <v>0</v>
      </c>
    </row>
    <row r="1002" spans="1:23" ht="15" customHeight="1">
      <c r="C1002" s="3">
        <v>10</v>
      </c>
      <c r="D1002" s="15" t="s">
        <v>769</v>
      </c>
      <c r="E1002" s="312" t="s">
        <v>461</v>
      </c>
      <c r="G1002" s="26">
        <v>0</v>
      </c>
      <c r="H1002" s="26">
        <v>0</v>
      </c>
      <c r="I1002" s="26">
        <v>0</v>
      </c>
      <c r="J1002" s="26">
        <v>0</v>
      </c>
      <c r="K1002" s="26">
        <v>0</v>
      </c>
      <c r="L1002" s="26">
        <v>0</v>
      </c>
      <c r="M1002" s="26">
        <v>0</v>
      </c>
      <c r="N1002" s="26">
        <v>0</v>
      </c>
      <c r="O1002" s="285"/>
      <c r="P1002" s="202">
        <v>986</v>
      </c>
      <c r="Q1002" s="210">
        <v>10</v>
      </c>
      <c r="R1002" s="205" t="s">
        <v>831</v>
      </c>
      <c r="S1002" s="206" t="s">
        <v>244</v>
      </c>
      <c r="T1002" s="211">
        <v>0</v>
      </c>
      <c r="U1002" s="211">
        <v>0</v>
      </c>
      <c r="V1002" s="213">
        <v>0</v>
      </c>
      <c r="W1002" s="213">
        <v>0</v>
      </c>
    </row>
    <row r="1003" spans="1:23" ht="15" customHeight="1">
      <c r="C1003" s="3">
        <v>10</v>
      </c>
      <c r="D1003" s="15" t="s">
        <v>770</v>
      </c>
      <c r="E1003" s="312" t="s">
        <v>382</v>
      </c>
      <c r="G1003" s="26">
        <v>0</v>
      </c>
      <c r="H1003" s="26">
        <v>0</v>
      </c>
      <c r="I1003" s="26">
        <v>0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85"/>
      <c r="P1003" s="202">
        <v>987</v>
      </c>
      <c r="Q1003" s="210">
        <v>10</v>
      </c>
      <c r="R1003" s="205" t="s">
        <v>2623</v>
      </c>
      <c r="S1003" s="206"/>
      <c r="T1003" s="211"/>
      <c r="U1003" s="211"/>
      <c r="V1003" s="213"/>
      <c r="W1003" s="213"/>
    </row>
    <row r="1004" spans="1:23" ht="15" customHeight="1">
      <c r="C1004" s="3">
        <v>10</v>
      </c>
      <c r="D1004" s="15" t="s">
        <v>771</v>
      </c>
      <c r="E1004" s="312" t="s">
        <v>173</v>
      </c>
      <c r="G1004" s="26">
        <v>0</v>
      </c>
      <c r="H1004" s="26">
        <v>0</v>
      </c>
      <c r="I1004" s="26">
        <v>6159</v>
      </c>
      <c r="J1004" s="26">
        <v>2318</v>
      </c>
      <c r="K1004" s="26">
        <v>0</v>
      </c>
      <c r="L1004" s="26">
        <v>1159</v>
      </c>
      <c r="M1004" s="26">
        <v>1159</v>
      </c>
      <c r="N1004" s="26">
        <v>0</v>
      </c>
      <c r="O1004" s="294"/>
      <c r="P1004" s="202">
        <v>988</v>
      </c>
      <c r="Q1004" s="210">
        <v>10</v>
      </c>
      <c r="R1004" s="205" t="s">
        <v>245</v>
      </c>
      <c r="S1004" s="206"/>
      <c r="T1004" s="211">
        <v>1000</v>
      </c>
      <c r="U1004" s="211">
        <v>0</v>
      </c>
      <c r="V1004" s="213">
        <v>557.95000000000005</v>
      </c>
      <c r="W1004" s="213">
        <v>0</v>
      </c>
    </row>
    <row r="1005" spans="1:23" ht="15" customHeight="1">
      <c r="C1005" s="3">
        <v>10</v>
      </c>
      <c r="D1005" s="15" t="s">
        <v>772</v>
      </c>
      <c r="E1005" s="312" t="s">
        <v>773</v>
      </c>
      <c r="G1005" s="26">
        <v>0</v>
      </c>
      <c r="H1005" s="26">
        <v>0</v>
      </c>
      <c r="I1005" s="26">
        <v>0</v>
      </c>
      <c r="J1005" s="26">
        <v>0</v>
      </c>
      <c r="K1005" s="26">
        <v>0</v>
      </c>
      <c r="L1005" s="26">
        <v>0</v>
      </c>
      <c r="M1005" s="26">
        <v>0</v>
      </c>
      <c r="N1005" s="26">
        <v>0</v>
      </c>
      <c r="O1005" s="285"/>
      <c r="P1005" s="202">
        <v>989</v>
      </c>
      <c r="Q1005" s="210">
        <v>10</v>
      </c>
      <c r="R1005" s="205" t="s">
        <v>2623</v>
      </c>
      <c r="S1005" s="206"/>
      <c r="T1005" s="211"/>
      <c r="U1005" s="211"/>
      <c r="V1005" s="213"/>
      <c r="W1005" s="213"/>
    </row>
    <row r="1006" spans="1:23" ht="15" customHeight="1">
      <c r="C1006" s="3">
        <v>10</v>
      </c>
      <c r="D1006" s="15" t="s">
        <v>774</v>
      </c>
      <c r="E1006" s="312" t="s">
        <v>244</v>
      </c>
      <c r="G1006" s="26">
        <v>0</v>
      </c>
      <c r="H1006" s="26">
        <v>0</v>
      </c>
      <c r="I1006" s="26">
        <v>0</v>
      </c>
      <c r="J1006" s="26">
        <v>0</v>
      </c>
      <c r="K1006" s="26">
        <v>0</v>
      </c>
      <c r="L1006" s="26">
        <v>0</v>
      </c>
      <c r="M1006" s="26">
        <v>0</v>
      </c>
      <c r="N1006" s="26">
        <v>0</v>
      </c>
      <c r="O1006" s="285"/>
      <c r="P1006" s="202">
        <v>990</v>
      </c>
      <c r="Q1006" s="210">
        <v>10</v>
      </c>
      <c r="R1006" s="205" t="s">
        <v>11</v>
      </c>
      <c r="S1006" s="206"/>
      <c r="T1006" s="211">
        <v>154405</v>
      </c>
      <c r="U1006" s="211">
        <v>6184.66</v>
      </c>
      <c r="V1006" s="213">
        <v>119538.05</v>
      </c>
      <c r="W1006" s="213">
        <v>77.42</v>
      </c>
    </row>
    <row r="1007" spans="1:23" ht="15" customHeight="1">
      <c r="G1007" s="26"/>
      <c r="H1007" s="26"/>
      <c r="I1007" s="26"/>
      <c r="J1007" s="26"/>
      <c r="K1007" s="26"/>
      <c r="L1007" s="26"/>
      <c r="M1007" s="26"/>
      <c r="N1007" s="26"/>
      <c r="O1007" s="293"/>
      <c r="P1007" s="202">
        <v>991</v>
      </c>
      <c r="Q1007" s="210">
        <v>10</v>
      </c>
      <c r="R1007" s="205" t="s">
        <v>2621</v>
      </c>
      <c r="S1007" s="206"/>
      <c r="T1007" s="211"/>
      <c r="U1007" s="211"/>
      <c r="V1007" s="213"/>
      <c r="W1007" s="213"/>
    </row>
    <row r="1008" spans="1:23" s="24" customFormat="1" ht="15" customHeight="1">
      <c r="A1008" s="2" t="s">
        <v>245</v>
      </c>
      <c r="B1008" s="2" t="s">
        <v>2317</v>
      </c>
      <c r="C1008" s="3"/>
      <c r="D1008" s="323" t="s">
        <v>2102</v>
      </c>
      <c r="E1008" s="323"/>
      <c r="F1008" s="324"/>
      <c r="G1008" s="325">
        <f>SUM(G996:G1007)</f>
        <v>0</v>
      </c>
      <c r="H1008" s="325">
        <f t="shared" ref="H1008:N1008" si="86">SUM(H996:H1007)</f>
        <v>5422</v>
      </c>
      <c r="I1008" s="325">
        <f t="shared" si="86"/>
        <v>12552</v>
      </c>
      <c r="J1008" s="325">
        <f t="shared" si="86"/>
        <v>2318</v>
      </c>
      <c r="K1008" s="325">
        <f t="shared" si="86"/>
        <v>0</v>
      </c>
      <c r="L1008" s="325">
        <f t="shared" si="86"/>
        <v>1159</v>
      </c>
      <c r="M1008" s="325">
        <f t="shared" si="86"/>
        <v>1159</v>
      </c>
      <c r="N1008" s="325">
        <f t="shared" si="86"/>
        <v>14750</v>
      </c>
      <c r="O1008" s="292"/>
      <c r="P1008" s="202">
        <v>992</v>
      </c>
      <c r="Q1008" s="210">
        <v>10</v>
      </c>
      <c r="R1008" s="205" t="s">
        <v>2622</v>
      </c>
      <c r="S1008" s="206"/>
      <c r="T1008" s="211"/>
      <c r="U1008" s="211"/>
      <c r="V1008" s="213"/>
      <c r="W1008" s="213"/>
    </row>
    <row r="1009" spans="1:23" ht="15" customHeight="1">
      <c r="G1009" s="26"/>
      <c r="H1009" s="26"/>
      <c r="I1009" s="26"/>
      <c r="J1009" s="26"/>
      <c r="K1009" s="26"/>
      <c r="L1009" s="26"/>
      <c r="M1009" s="26"/>
      <c r="N1009" s="26"/>
      <c r="P1009" s="202">
        <v>993</v>
      </c>
      <c r="Q1009" s="210">
        <v>10</v>
      </c>
      <c r="R1009" s="205" t="s">
        <v>832</v>
      </c>
      <c r="S1009" s="206" t="s">
        <v>79</v>
      </c>
      <c r="T1009" s="211">
        <v>0</v>
      </c>
      <c r="U1009" s="211">
        <v>0</v>
      </c>
      <c r="V1009" s="213">
        <v>0</v>
      </c>
      <c r="W1009" s="213">
        <v>0</v>
      </c>
    </row>
    <row r="1010" spans="1:23" s="43" customFormat="1" ht="15" customHeight="1" thickBot="1">
      <c r="A1010" s="2"/>
      <c r="B1010" s="2" t="s">
        <v>2317</v>
      </c>
      <c r="C1010" s="3"/>
      <c r="D1010" s="68" t="s">
        <v>1988</v>
      </c>
      <c r="E1010" s="326"/>
      <c r="F1010" s="327"/>
      <c r="G1010" s="328">
        <f t="shared" ref="G1010:N1010" si="87">+G1008+G994+G974+G956+G933</f>
        <v>117034</v>
      </c>
      <c r="H1010" s="328">
        <f t="shared" si="87"/>
        <v>165004</v>
      </c>
      <c r="I1010" s="328">
        <f t="shared" si="87"/>
        <v>181199</v>
      </c>
      <c r="J1010" s="328">
        <f t="shared" si="87"/>
        <v>152580</v>
      </c>
      <c r="K1010" s="328">
        <f t="shared" si="87"/>
        <v>127887</v>
      </c>
      <c r="L1010" s="328">
        <f t="shared" si="87"/>
        <v>82495</v>
      </c>
      <c r="M1010" s="328">
        <f t="shared" si="87"/>
        <v>130961.23000000001</v>
      </c>
      <c r="N1010" s="328">
        <f t="shared" si="87"/>
        <v>138363</v>
      </c>
      <c r="O1010" s="288"/>
      <c r="P1010" s="202">
        <v>994</v>
      </c>
      <c r="Q1010" s="210">
        <v>10</v>
      </c>
      <c r="R1010" s="205" t="s">
        <v>833</v>
      </c>
      <c r="S1010" s="206" t="s">
        <v>81</v>
      </c>
      <c r="T1010" s="211">
        <v>0</v>
      </c>
      <c r="U1010" s="211">
        <v>0</v>
      </c>
      <c r="V1010" s="213">
        <v>0</v>
      </c>
      <c r="W1010" s="213">
        <v>0</v>
      </c>
    </row>
    <row r="1011" spans="1:23" s="45" customFormat="1" ht="15" customHeight="1" thickTop="1">
      <c r="A1011" s="2"/>
      <c r="B1011" s="2"/>
      <c r="C1011" s="3"/>
      <c r="D1011" s="47"/>
      <c r="E1011" s="15"/>
      <c r="F1011" s="105"/>
      <c r="G1011" s="26"/>
      <c r="H1011" s="26"/>
      <c r="I1011" s="26"/>
      <c r="J1011" s="26"/>
      <c r="K1011" s="26"/>
      <c r="L1011" s="26"/>
      <c r="M1011" s="26"/>
      <c r="N1011" s="26"/>
      <c r="O1011" s="275"/>
      <c r="P1011" s="202">
        <v>995</v>
      </c>
      <c r="Q1011" s="210">
        <v>10</v>
      </c>
      <c r="R1011" s="205" t="s">
        <v>834</v>
      </c>
      <c r="S1011" s="206" t="s">
        <v>83</v>
      </c>
      <c r="T1011" s="211">
        <v>0</v>
      </c>
      <c r="U1011" s="211">
        <v>0</v>
      </c>
      <c r="V1011" s="213">
        <v>0</v>
      </c>
      <c r="W1011" s="213">
        <v>0</v>
      </c>
    </row>
    <row r="1012" spans="1:23" s="45" customFormat="1" ht="15" customHeight="1">
      <c r="A1012" s="2"/>
      <c r="B1012" s="2"/>
      <c r="C1012" s="3"/>
      <c r="D1012" s="47" t="s">
        <v>11</v>
      </c>
      <c r="E1012" s="15"/>
      <c r="F1012" s="105"/>
      <c r="G1012" s="26"/>
      <c r="H1012" s="26"/>
      <c r="I1012" s="26"/>
      <c r="J1012" s="26"/>
      <c r="K1012" s="26"/>
      <c r="L1012" s="26"/>
      <c r="M1012" s="26"/>
      <c r="N1012" s="26"/>
      <c r="O1012" s="275"/>
      <c r="P1012" s="202">
        <v>996</v>
      </c>
      <c r="Q1012" s="210">
        <v>10</v>
      </c>
      <c r="R1012" s="205" t="s">
        <v>835</v>
      </c>
      <c r="S1012" s="206" t="s">
        <v>85</v>
      </c>
      <c r="T1012" s="211">
        <v>0</v>
      </c>
      <c r="U1012" s="211">
        <v>0</v>
      </c>
      <c r="V1012" s="213">
        <v>3.48</v>
      </c>
      <c r="W1012" s="213">
        <v>0</v>
      </c>
    </row>
    <row r="1013" spans="1:23" s="45" customFormat="1" ht="15" customHeight="1">
      <c r="A1013" s="2"/>
      <c r="B1013" s="2"/>
      <c r="C1013" s="3"/>
      <c r="D1013" s="47"/>
      <c r="E1013" s="15"/>
      <c r="F1013" s="105"/>
      <c r="G1013" s="26"/>
      <c r="H1013" s="26"/>
      <c r="I1013" s="26"/>
      <c r="J1013" s="26"/>
      <c r="K1013" s="26"/>
      <c r="L1013" s="26"/>
      <c r="M1013" s="26"/>
      <c r="N1013" s="26"/>
      <c r="O1013" s="275"/>
      <c r="P1013" s="202">
        <v>997</v>
      </c>
      <c r="Q1013" s="210">
        <v>10</v>
      </c>
      <c r="R1013" s="205" t="s">
        <v>836</v>
      </c>
      <c r="S1013" s="206" t="s">
        <v>87</v>
      </c>
      <c r="T1013" s="211">
        <v>0</v>
      </c>
      <c r="U1013" s="211">
        <v>8.27</v>
      </c>
      <c r="V1013" s="213">
        <v>28.47</v>
      </c>
      <c r="W1013" s="213">
        <v>0</v>
      </c>
    </row>
    <row r="1014" spans="1:23" s="5" customFormat="1" ht="15" customHeight="1">
      <c r="A1014" s="2"/>
      <c r="B1014" s="2"/>
      <c r="C1014" s="3"/>
      <c r="D1014" s="47" t="s">
        <v>2103</v>
      </c>
      <c r="E1014" s="15"/>
      <c r="F1014" s="105"/>
      <c r="G1014" s="26"/>
      <c r="H1014" s="26"/>
      <c r="I1014" s="26"/>
      <c r="J1014" s="26"/>
      <c r="K1014" s="26"/>
      <c r="L1014" s="26"/>
      <c r="M1014" s="26"/>
      <c r="N1014" s="26"/>
      <c r="O1014" s="282"/>
      <c r="P1014" s="202">
        <v>998</v>
      </c>
      <c r="Q1014" s="210">
        <v>10</v>
      </c>
      <c r="R1014" s="205" t="s">
        <v>837</v>
      </c>
      <c r="S1014" s="206" t="s">
        <v>91</v>
      </c>
      <c r="T1014" s="211">
        <v>0</v>
      </c>
      <c r="U1014" s="211">
        <v>0</v>
      </c>
      <c r="V1014" s="213">
        <v>0</v>
      </c>
      <c r="W1014" s="213">
        <v>0</v>
      </c>
    </row>
    <row r="1015" spans="1:23" ht="15" customHeight="1">
      <c r="G1015" s="26"/>
      <c r="H1015" s="26"/>
      <c r="I1015" s="26"/>
      <c r="J1015" s="26"/>
      <c r="K1015" s="26"/>
      <c r="L1015" s="26"/>
      <c r="M1015" s="26"/>
      <c r="N1015" s="26"/>
      <c r="P1015" s="202">
        <v>999</v>
      </c>
      <c r="Q1015" s="210">
        <v>10</v>
      </c>
      <c r="R1015" s="205" t="s">
        <v>838</v>
      </c>
      <c r="S1015" s="206" t="s">
        <v>93</v>
      </c>
      <c r="T1015" s="211">
        <v>61824</v>
      </c>
      <c r="U1015" s="211">
        <v>108</v>
      </c>
      <c r="V1015" s="213">
        <v>372</v>
      </c>
      <c r="W1015" s="213">
        <v>0.6</v>
      </c>
    </row>
    <row r="1016" spans="1:23" ht="15" customHeight="1">
      <c r="C1016" s="3">
        <v>10</v>
      </c>
      <c r="D1016" s="15" t="s">
        <v>775</v>
      </c>
      <c r="E1016" s="312" t="s">
        <v>79</v>
      </c>
      <c r="G1016" s="26">
        <v>30243</v>
      </c>
      <c r="H1016" s="26">
        <v>33734</v>
      </c>
      <c r="I1016" s="26">
        <v>49303</v>
      </c>
      <c r="J1016" s="26">
        <v>37532</v>
      </c>
      <c r="K1016" s="26">
        <v>46548</v>
      </c>
      <c r="L1016" s="26">
        <v>24075</v>
      </c>
      <c r="M1016" s="26">
        <v>35000</v>
      </c>
      <c r="N1016" s="26">
        <f>30646+23634+2500</f>
        <v>56780</v>
      </c>
      <c r="O1016" s="275" t="s">
        <v>3059</v>
      </c>
      <c r="P1016" s="202">
        <v>1000</v>
      </c>
      <c r="Q1016" s="210">
        <v>10</v>
      </c>
      <c r="R1016" s="205" t="s">
        <v>839</v>
      </c>
      <c r="S1016" s="206" t="s">
        <v>101</v>
      </c>
      <c r="T1016" s="211">
        <v>0</v>
      </c>
      <c r="U1016" s="211">
        <v>0</v>
      </c>
      <c r="V1016" s="213">
        <v>0</v>
      </c>
      <c r="W1016" s="213">
        <v>0</v>
      </c>
    </row>
    <row r="1017" spans="1:23" ht="15" customHeight="1">
      <c r="C1017" s="3">
        <v>10</v>
      </c>
      <c r="D1017" s="15" t="s">
        <v>776</v>
      </c>
      <c r="E1017" s="312" t="s">
        <v>81</v>
      </c>
      <c r="G1017" s="26">
        <v>6659</v>
      </c>
      <c r="H1017" s="26">
        <v>7214</v>
      </c>
      <c r="I1017" s="26">
        <v>11931</v>
      </c>
      <c r="J1017" s="26">
        <v>2497</v>
      </c>
      <c r="K1017" s="26">
        <v>6659</v>
      </c>
      <c r="L1017" s="26">
        <v>3330</v>
      </c>
      <c r="M1017" s="26">
        <v>6659</v>
      </c>
      <c r="N1017" s="26">
        <f>6659*2</f>
        <v>13318</v>
      </c>
      <c r="O1017" s="275" t="s">
        <v>3060</v>
      </c>
      <c r="P1017" s="202">
        <v>1001</v>
      </c>
      <c r="Q1017" s="210">
        <v>10</v>
      </c>
      <c r="R1017" s="205" t="s">
        <v>840</v>
      </c>
      <c r="S1017" s="206" t="s">
        <v>103</v>
      </c>
      <c r="T1017" s="211">
        <v>0</v>
      </c>
      <c r="U1017" s="211">
        <v>0</v>
      </c>
      <c r="V1017" s="213">
        <v>0</v>
      </c>
      <c r="W1017" s="213">
        <v>0</v>
      </c>
    </row>
    <row r="1018" spans="1:23" ht="15" customHeight="1">
      <c r="C1018" s="3">
        <v>10</v>
      </c>
      <c r="D1018" s="15" t="s">
        <v>777</v>
      </c>
      <c r="E1018" s="312" t="s">
        <v>83</v>
      </c>
      <c r="G1018" s="26">
        <v>0</v>
      </c>
      <c r="H1018" s="26">
        <v>67</v>
      </c>
      <c r="I1018" s="26">
        <v>23</v>
      </c>
      <c r="J1018" s="26">
        <v>0</v>
      </c>
      <c r="K1018" s="26">
        <v>0</v>
      </c>
      <c r="L1018" s="26">
        <v>0</v>
      </c>
      <c r="M1018" s="26">
        <v>0</v>
      </c>
      <c r="N1018" s="26">
        <v>0</v>
      </c>
      <c r="P1018" s="202">
        <v>1002</v>
      </c>
      <c r="Q1018" s="210">
        <v>10</v>
      </c>
      <c r="R1018" s="205" t="s">
        <v>2623</v>
      </c>
      <c r="S1018" s="206"/>
      <c r="T1018" s="211"/>
      <c r="U1018" s="211"/>
      <c r="V1018" s="213"/>
      <c r="W1018" s="213"/>
    </row>
    <row r="1019" spans="1:23" ht="15" customHeight="1">
      <c r="C1019" s="3">
        <v>10</v>
      </c>
      <c r="D1019" s="15" t="s">
        <v>778</v>
      </c>
      <c r="E1019" s="312" t="s">
        <v>85</v>
      </c>
      <c r="G1019" s="26">
        <v>99</v>
      </c>
      <c r="H1019" s="26">
        <v>0</v>
      </c>
      <c r="I1019" s="26">
        <v>393</v>
      </c>
      <c r="J1019" s="26">
        <v>174</v>
      </c>
      <c r="K1019" s="26">
        <v>388</v>
      </c>
      <c r="L1019" s="26">
        <v>339</v>
      </c>
      <c r="M1019" s="26">
        <f>437*1.33</f>
        <v>581.21</v>
      </c>
      <c r="N1019" s="26">
        <v>200</v>
      </c>
      <c r="P1019" s="202">
        <v>1003</v>
      </c>
      <c r="Q1019" s="210">
        <v>10</v>
      </c>
      <c r="R1019" s="205" t="s">
        <v>2621</v>
      </c>
      <c r="S1019" s="206"/>
      <c r="T1019" s="211">
        <v>61824</v>
      </c>
      <c r="U1019" s="211">
        <v>116.27</v>
      </c>
      <c r="V1019" s="213">
        <v>403.95</v>
      </c>
      <c r="W1019" s="213">
        <v>0</v>
      </c>
    </row>
    <row r="1020" spans="1:23" ht="15" customHeight="1">
      <c r="C1020" s="3">
        <v>10</v>
      </c>
      <c r="D1020" s="15" t="s">
        <v>779</v>
      </c>
      <c r="E1020" s="312" t="s">
        <v>87</v>
      </c>
      <c r="G1020" s="26">
        <v>2280</v>
      </c>
      <c r="H1020" s="26">
        <v>2976</v>
      </c>
      <c r="I1020" s="26">
        <v>3508</v>
      </c>
      <c r="J1020" s="26">
        <v>2801</v>
      </c>
      <c r="K1020" s="26">
        <v>2650</v>
      </c>
      <c r="L1020" s="26">
        <v>1901</v>
      </c>
      <c r="M1020" s="26">
        <f>4718*1.33</f>
        <v>6274.9400000000005</v>
      </c>
      <c r="N1020" s="26">
        <f>N1016*0.0765</f>
        <v>4343.67</v>
      </c>
      <c r="P1020" s="202">
        <v>1004</v>
      </c>
      <c r="Q1020" s="210">
        <v>10</v>
      </c>
      <c r="R1020" s="205" t="s">
        <v>104</v>
      </c>
      <c r="S1020" s="206"/>
      <c r="T1020" s="211"/>
      <c r="U1020" s="211"/>
      <c r="V1020" s="213"/>
      <c r="W1020" s="213"/>
    </row>
    <row r="1021" spans="1:23" ht="15" customHeight="1">
      <c r="C1021" s="3">
        <v>10</v>
      </c>
      <c r="D1021" s="15" t="s">
        <v>780</v>
      </c>
      <c r="E1021" s="312" t="s">
        <v>89</v>
      </c>
      <c r="G1021" s="26">
        <v>4524</v>
      </c>
      <c r="H1021" s="26">
        <v>5114</v>
      </c>
      <c r="I1021" s="26">
        <v>7735</v>
      </c>
      <c r="J1021" s="26">
        <v>6056</v>
      </c>
      <c r="K1021" s="26">
        <v>7476</v>
      </c>
      <c r="L1021" s="26">
        <v>4056</v>
      </c>
      <c r="M1021" s="26">
        <v>5500</v>
      </c>
      <c r="N1021" s="26">
        <f>N1016*0.1722</f>
        <v>9777.5159999999996</v>
      </c>
      <c r="P1021" s="202">
        <v>1005</v>
      </c>
      <c r="Q1021" s="210">
        <v>10</v>
      </c>
      <c r="R1021" s="205" t="s">
        <v>2624</v>
      </c>
      <c r="S1021" s="206"/>
      <c r="T1021" s="211"/>
      <c r="U1021" s="211"/>
      <c r="V1021" s="213"/>
      <c r="W1021" s="213"/>
    </row>
    <row r="1022" spans="1:23" ht="15" customHeight="1">
      <c r="C1022" s="3">
        <v>10</v>
      </c>
      <c r="D1022" s="15" t="s">
        <v>781</v>
      </c>
      <c r="E1022" s="312" t="s">
        <v>91</v>
      </c>
      <c r="G1022" s="26">
        <v>0</v>
      </c>
      <c r="H1022" s="26">
        <v>21</v>
      </c>
      <c r="I1022" s="26">
        <v>0</v>
      </c>
      <c r="J1022" s="26">
        <v>11</v>
      </c>
      <c r="K1022" s="26">
        <v>0</v>
      </c>
      <c r="L1022" s="26">
        <v>656</v>
      </c>
      <c r="M1022" s="26">
        <f>1570*1.33</f>
        <v>2088.1</v>
      </c>
      <c r="N1022" s="26">
        <v>500</v>
      </c>
      <c r="P1022" s="202">
        <v>1006</v>
      </c>
      <c r="Q1022" s="210">
        <v>10</v>
      </c>
      <c r="R1022" s="205" t="s">
        <v>841</v>
      </c>
      <c r="S1022" s="206" t="s">
        <v>115</v>
      </c>
      <c r="T1022" s="211">
        <v>250</v>
      </c>
      <c r="U1022" s="211">
        <v>0</v>
      </c>
      <c r="V1022" s="213">
        <v>559.02</v>
      </c>
      <c r="W1022" s="213">
        <v>223.61</v>
      </c>
    </row>
    <row r="1023" spans="1:23" ht="15" customHeight="1">
      <c r="C1023" s="3">
        <v>10</v>
      </c>
      <c r="D1023" s="15" t="s">
        <v>782</v>
      </c>
      <c r="E1023" s="312" t="s">
        <v>93</v>
      </c>
      <c r="G1023" s="26">
        <v>0</v>
      </c>
      <c r="H1023" s="26">
        <v>5996</v>
      </c>
      <c r="I1023" s="26">
        <v>0</v>
      </c>
      <c r="J1023" s="26">
        <v>0</v>
      </c>
      <c r="K1023" s="26">
        <v>0</v>
      </c>
      <c r="L1023" s="26">
        <v>0</v>
      </c>
      <c r="M1023" s="26">
        <v>0</v>
      </c>
      <c r="N1023" s="26">
        <v>0</v>
      </c>
      <c r="P1023" s="202">
        <v>1007</v>
      </c>
      <c r="Q1023" s="210">
        <v>10</v>
      </c>
      <c r="R1023" s="205" t="s">
        <v>842</v>
      </c>
      <c r="S1023" s="206" t="s">
        <v>117</v>
      </c>
      <c r="T1023" s="211">
        <v>0</v>
      </c>
      <c r="U1023" s="211">
        <v>0</v>
      </c>
      <c r="V1023" s="213">
        <v>0</v>
      </c>
      <c r="W1023" s="213">
        <v>0</v>
      </c>
    </row>
    <row r="1024" spans="1:23" ht="15" customHeight="1">
      <c r="C1024" s="3">
        <v>10</v>
      </c>
      <c r="D1024" s="15" t="s">
        <v>783</v>
      </c>
      <c r="E1024" s="312" t="s">
        <v>95</v>
      </c>
      <c r="G1024" s="26">
        <v>0</v>
      </c>
      <c r="H1024" s="26">
        <v>0</v>
      </c>
      <c r="I1024" s="26">
        <v>0</v>
      </c>
      <c r="J1024" s="26">
        <v>0</v>
      </c>
      <c r="K1024" s="26">
        <v>0</v>
      </c>
      <c r="L1024" s="26">
        <v>0</v>
      </c>
      <c r="M1024" s="26">
        <v>0</v>
      </c>
      <c r="N1024" s="26">
        <v>0</v>
      </c>
      <c r="P1024" s="202">
        <v>1008</v>
      </c>
      <c r="Q1024" s="210">
        <v>10</v>
      </c>
      <c r="R1024" s="205" t="s">
        <v>843</v>
      </c>
      <c r="S1024" s="206" t="s">
        <v>119</v>
      </c>
      <c r="T1024" s="211">
        <v>0</v>
      </c>
      <c r="U1024" s="211">
        <v>0</v>
      </c>
      <c r="V1024" s="213">
        <v>0</v>
      </c>
      <c r="W1024" s="213">
        <v>0</v>
      </c>
    </row>
    <row r="1025" spans="1:23" ht="15" customHeight="1">
      <c r="C1025" s="3">
        <v>10</v>
      </c>
      <c r="D1025" s="15" t="s">
        <v>784</v>
      </c>
      <c r="E1025" s="312" t="s">
        <v>97</v>
      </c>
      <c r="G1025" s="26">
        <v>1605</v>
      </c>
      <c r="H1025" s="26">
        <v>1677</v>
      </c>
      <c r="I1025" s="26">
        <v>1749</v>
      </c>
      <c r="J1025" s="26">
        <v>375</v>
      </c>
      <c r="K1025" s="26">
        <v>375</v>
      </c>
      <c r="L1025" s="26">
        <v>0</v>
      </c>
      <c r="M1025" s="26">
        <f>79*1.33</f>
        <v>105.07000000000001</v>
      </c>
      <c r="N1025" s="26">
        <v>0</v>
      </c>
      <c r="P1025" s="202">
        <v>1009</v>
      </c>
      <c r="Q1025" s="210">
        <v>10</v>
      </c>
      <c r="R1025" s="205" t="s">
        <v>844</v>
      </c>
      <c r="S1025" s="206" t="s">
        <v>121</v>
      </c>
      <c r="T1025" s="211">
        <v>0</v>
      </c>
      <c r="U1025" s="211">
        <v>0</v>
      </c>
      <c r="V1025" s="213">
        <v>0</v>
      </c>
      <c r="W1025" s="213">
        <v>0</v>
      </c>
    </row>
    <row r="1026" spans="1:23" ht="15" customHeight="1">
      <c r="C1026" s="3">
        <v>10</v>
      </c>
      <c r="D1026" s="15" t="s">
        <v>785</v>
      </c>
      <c r="E1026" s="312" t="s">
        <v>99</v>
      </c>
      <c r="G1026" s="26">
        <v>59</v>
      </c>
      <c r="H1026" s="26">
        <v>59</v>
      </c>
      <c r="I1026" s="26">
        <v>117</v>
      </c>
      <c r="J1026" s="26">
        <v>59</v>
      </c>
      <c r="K1026" s="26">
        <v>59</v>
      </c>
      <c r="L1026" s="26">
        <v>114</v>
      </c>
      <c r="M1026" s="26">
        <f>143*1.33</f>
        <v>190.19</v>
      </c>
      <c r="N1026" s="26">
        <v>190</v>
      </c>
      <c r="P1026" s="202">
        <v>1010</v>
      </c>
      <c r="Q1026" s="210">
        <v>10</v>
      </c>
      <c r="R1026" s="205" t="s">
        <v>845</v>
      </c>
      <c r="S1026" s="206" t="s">
        <v>123</v>
      </c>
      <c r="T1026" s="211">
        <v>0</v>
      </c>
      <c r="U1026" s="211">
        <v>0</v>
      </c>
      <c r="V1026" s="213">
        <v>0</v>
      </c>
      <c r="W1026" s="213">
        <v>0</v>
      </c>
    </row>
    <row r="1027" spans="1:23" ht="15" customHeight="1">
      <c r="C1027" s="3">
        <v>10</v>
      </c>
      <c r="D1027" s="15" t="s">
        <v>786</v>
      </c>
      <c r="E1027" s="312" t="s">
        <v>101</v>
      </c>
      <c r="G1027" s="26">
        <v>0</v>
      </c>
      <c r="H1027" s="26">
        <v>0</v>
      </c>
      <c r="I1027" s="26">
        <v>0</v>
      </c>
      <c r="J1027" s="26">
        <v>0</v>
      </c>
      <c r="K1027" s="26">
        <v>0</v>
      </c>
      <c r="L1027" s="26">
        <v>0</v>
      </c>
      <c r="M1027" s="26">
        <v>0</v>
      </c>
      <c r="N1027" s="26">
        <v>0</v>
      </c>
      <c r="P1027" s="202">
        <v>1011</v>
      </c>
      <c r="Q1027" s="210">
        <v>10</v>
      </c>
      <c r="R1027" s="205" t="s">
        <v>846</v>
      </c>
      <c r="S1027" s="206" t="s">
        <v>125</v>
      </c>
      <c r="T1027" s="211">
        <v>0</v>
      </c>
      <c r="U1027" s="211">
        <v>0</v>
      </c>
      <c r="V1027" s="213">
        <v>0</v>
      </c>
      <c r="W1027" s="213">
        <v>0</v>
      </c>
    </row>
    <row r="1028" spans="1:23" ht="15" customHeight="1">
      <c r="C1028" s="3">
        <v>10</v>
      </c>
      <c r="D1028" s="15" t="s">
        <v>787</v>
      </c>
      <c r="E1028" s="312" t="s">
        <v>103</v>
      </c>
      <c r="G1028" s="26">
        <v>0</v>
      </c>
      <c r="H1028" s="26">
        <v>0</v>
      </c>
      <c r="I1028" s="26">
        <v>0</v>
      </c>
      <c r="J1028" s="26">
        <v>0</v>
      </c>
      <c r="K1028" s="26">
        <v>0</v>
      </c>
      <c r="L1028" s="26">
        <v>0</v>
      </c>
      <c r="M1028" s="26">
        <v>0</v>
      </c>
      <c r="N1028" s="26">
        <v>0</v>
      </c>
      <c r="P1028" s="202">
        <v>1012</v>
      </c>
      <c r="Q1028" s="210">
        <v>10</v>
      </c>
      <c r="R1028" s="205" t="s">
        <v>847</v>
      </c>
      <c r="S1028" s="206" t="s">
        <v>106</v>
      </c>
      <c r="T1028" s="211">
        <v>0</v>
      </c>
      <c r="U1028" s="211">
        <v>0</v>
      </c>
      <c r="V1028" s="213">
        <v>0</v>
      </c>
      <c r="W1028" s="213">
        <v>0</v>
      </c>
    </row>
    <row r="1029" spans="1:23" ht="15" customHeight="1">
      <c r="G1029" s="26"/>
      <c r="H1029" s="26"/>
      <c r="I1029" s="26"/>
      <c r="J1029" s="26"/>
      <c r="K1029" s="26"/>
      <c r="L1029" s="26"/>
      <c r="M1029" s="26"/>
      <c r="N1029" s="26"/>
      <c r="P1029" s="202">
        <v>1013</v>
      </c>
      <c r="Q1029" s="210">
        <v>10</v>
      </c>
      <c r="R1029" s="205" t="s">
        <v>848</v>
      </c>
      <c r="S1029" s="206" t="s">
        <v>128</v>
      </c>
      <c r="T1029" s="211">
        <v>0</v>
      </c>
      <c r="U1029" s="211">
        <v>0</v>
      </c>
      <c r="V1029" s="213">
        <v>0</v>
      </c>
      <c r="W1029" s="213">
        <v>0</v>
      </c>
    </row>
    <row r="1030" spans="1:23" s="72" customFormat="1" ht="15" customHeight="1">
      <c r="A1030" s="5" t="s">
        <v>2410</v>
      </c>
      <c r="B1030" s="5" t="s">
        <v>2317</v>
      </c>
      <c r="C1030" s="3"/>
      <c r="D1030" s="323" t="s">
        <v>2104</v>
      </c>
      <c r="E1030" s="323"/>
      <c r="F1030" s="324"/>
      <c r="G1030" s="325">
        <f>SUM(G1014:G1029)</f>
        <v>45469</v>
      </c>
      <c r="H1030" s="325">
        <f t="shared" ref="H1030:N1030" si="88">SUM(H1014:H1029)</f>
        <v>56858</v>
      </c>
      <c r="I1030" s="325">
        <f t="shared" si="88"/>
        <v>74759</v>
      </c>
      <c r="J1030" s="325">
        <f t="shared" si="88"/>
        <v>49505</v>
      </c>
      <c r="K1030" s="325">
        <f t="shared" si="88"/>
        <v>64155</v>
      </c>
      <c r="L1030" s="325">
        <f t="shared" si="88"/>
        <v>34471</v>
      </c>
      <c r="M1030" s="325">
        <f t="shared" si="88"/>
        <v>56398.51</v>
      </c>
      <c r="N1030" s="325">
        <f t="shared" si="88"/>
        <v>85109.186000000002</v>
      </c>
      <c r="O1030" s="286"/>
      <c r="P1030" s="202">
        <v>1014</v>
      </c>
      <c r="Q1030" s="210">
        <v>10</v>
      </c>
      <c r="R1030" s="205" t="s">
        <v>849</v>
      </c>
      <c r="S1030" s="206" t="s">
        <v>200</v>
      </c>
      <c r="T1030" s="211">
        <v>0</v>
      </c>
      <c r="U1030" s="211">
        <v>2059.7399999999998</v>
      </c>
      <c r="V1030" s="213">
        <v>2059.7399999999998</v>
      </c>
      <c r="W1030" s="213">
        <v>0</v>
      </c>
    </row>
    <row r="1031" spans="1:23" s="46" customFormat="1" ht="15" customHeight="1">
      <c r="A1031" s="2"/>
      <c r="B1031" s="2"/>
      <c r="C1031" s="3"/>
      <c r="D1031" s="47"/>
      <c r="E1031" s="47"/>
      <c r="F1031" s="191"/>
      <c r="G1031" s="48"/>
      <c r="H1031" s="48"/>
      <c r="I1031" s="48"/>
      <c r="J1031" s="48"/>
      <c r="K1031" s="48"/>
      <c r="L1031" s="48"/>
      <c r="M1031" s="48"/>
      <c r="N1031" s="48"/>
      <c r="O1031" s="289"/>
      <c r="P1031" s="202">
        <v>1015</v>
      </c>
      <c r="Q1031" s="210">
        <v>10</v>
      </c>
      <c r="R1031" s="205" t="s">
        <v>850</v>
      </c>
      <c r="S1031" s="206" t="s">
        <v>202</v>
      </c>
      <c r="T1031" s="211">
        <v>0</v>
      </c>
      <c r="U1031" s="211">
        <v>0</v>
      </c>
      <c r="V1031" s="213">
        <v>0</v>
      </c>
      <c r="W1031" s="213">
        <v>0</v>
      </c>
    </row>
    <row r="1032" spans="1:23" ht="15" customHeight="1">
      <c r="D1032" s="47" t="s">
        <v>2105</v>
      </c>
      <c r="G1032" s="26"/>
      <c r="H1032" s="26"/>
      <c r="I1032" s="26"/>
      <c r="J1032" s="26"/>
      <c r="K1032" s="26"/>
      <c r="L1032" s="26"/>
      <c r="M1032" s="26"/>
      <c r="N1032" s="26"/>
      <c r="P1032" s="202">
        <v>1016</v>
      </c>
      <c r="Q1032" s="210">
        <v>10</v>
      </c>
      <c r="R1032" s="205" t="s">
        <v>851</v>
      </c>
      <c r="S1032" s="206" t="s">
        <v>132</v>
      </c>
      <c r="T1032" s="211">
        <v>500</v>
      </c>
      <c r="U1032" s="211">
        <v>486.54</v>
      </c>
      <c r="V1032" s="213">
        <v>586.52</v>
      </c>
      <c r="W1032" s="213">
        <v>117.3</v>
      </c>
    </row>
    <row r="1033" spans="1:23" ht="15" customHeight="1">
      <c r="G1033" s="26"/>
      <c r="H1033" s="26"/>
      <c r="I1033" s="26"/>
      <c r="J1033" s="26"/>
      <c r="K1033" s="26"/>
      <c r="L1033" s="26"/>
      <c r="M1033" s="26"/>
      <c r="N1033" s="26"/>
      <c r="P1033" s="202">
        <v>1017</v>
      </c>
      <c r="Q1033" s="210">
        <v>10</v>
      </c>
      <c r="R1033" s="205" t="s">
        <v>852</v>
      </c>
      <c r="S1033" s="206" t="s">
        <v>206</v>
      </c>
      <c r="T1033" s="211">
        <v>300</v>
      </c>
      <c r="U1033" s="211">
        <v>0</v>
      </c>
      <c r="V1033" s="213">
        <v>0</v>
      </c>
      <c r="W1033" s="213">
        <v>0</v>
      </c>
    </row>
    <row r="1034" spans="1:23" ht="15" customHeight="1">
      <c r="C1034" s="3">
        <v>10</v>
      </c>
      <c r="D1034" s="15" t="s">
        <v>788</v>
      </c>
      <c r="E1034" s="312" t="s">
        <v>115</v>
      </c>
      <c r="G1034" s="26">
        <v>0</v>
      </c>
      <c r="H1034" s="26">
        <v>341</v>
      </c>
      <c r="I1034" s="26">
        <v>1224</v>
      </c>
      <c r="J1034" s="26">
        <v>918</v>
      </c>
      <c r="K1034" s="26">
        <v>1500</v>
      </c>
      <c r="L1034" s="26">
        <v>866</v>
      </c>
      <c r="M1034" s="26">
        <v>1600</v>
      </c>
      <c r="N1034" s="26">
        <v>2000</v>
      </c>
      <c r="O1034" s="285"/>
      <c r="P1034" s="202">
        <v>1018</v>
      </c>
      <c r="Q1034" s="210">
        <v>10</v>
      </c>
      <c r="R1034" s="205" t="s">
        <v>853</v>
      </c>
      <c r="S1034" s="206" t="s">
        <v>208</v>
      </c>
      <c r="T1034" s="211">
        <v>12000</v>
      </c>
      <c r="U1034" s="211">
        <v>32.450000000000003</v>
      </c>
      <c r="V1034" s="213">
        <v>32.450000000000003</v>
      </c>
      <c r="W1034" s="213">
        <v>0.27</v>
      </c>
    </row>
    <row r="1035" spans="1:23" ht="15" customHeight="1">
      <c r="C1035" s="3">
        <v>10</v>
      </c>
      <c r="D1035" s="15" t="s">
        <v>789</v>
      </c>
      <c r="E1035" s="312" t="s">
        <v>117</v>
      </c>
      <c r="G1035" s="26">
        <v>0</v>
      </c>
      <c r="H1035" s="26">
        <v>0</v>
      </c>
      <c r="I1035" s="26">
        <v>0</v>
      </c>
      <c r="J1035" s="26">
        <v>0</v>
      </c>
      <c r="K1035" s="26">
        <v>0</v>
      </c>
      <c r="L1035" s="26">
        <v>0</v>
      </c>
      <c r="M1035" s="26">
        <v>0</v>
      </c>
      <c r="N1035" s="26">
        <v>0</v>
      </c>
      <c r="O1035" s="285"/>
      <c r="P1035" s="202">
        <v>1019</v>
      </c>
      <c r="Q1035" s="210">
        <v>10</v>
      </c>
      <c r="R1035" s="205" t="s">
        <v>854</v>
      </c>
      <c r="S1035" s="206" t="s">
        <v>210</v>
      </c>
      <c r="T1035" s="211">
        <v>0</v>
      </c>
      <c r="U1035" s="211">
        <v>0</v>
      </c>
      <c r="V1035" s="213">
        <v>0</v>
      </c>
      <c r="W1035" s="213">
        <v>0</v>
      </c>
    </row>
    <row r="1036" spans="1:23" ht="15" customHeight="1">
      <c r="C1036" s="3">
        <v>10</v>
      </c>
      <c r="D1036" s="15" t="s">
        <v>790</v>
      </c>
      <c r="E1036" s="312" t="s">
        <v>119</v>
      </c>
      <c r="G1036" s="26">
        <v>1</v>
      </c>
      <c r="H1036" s="26">
        <v>402</v>
      </c>
      <c r="I1036" s="26">
        <v>997</v>
      </c>
      <c r="J1036" s="26">
        <v>698</v>
      </c>
      <c r="K1036" s="26">
        <v>1100</v>
      </c>
      <c r="L1036" s="26">
        <v>396</v>
      </c>
      <c r="M1036" s="26">
        <v>800</v>
      </c>
      <c r="N1036" s="26">
        <v>1100</v>
      </c>
      <c r="O1036" s="285"/>
      <c r="P1036" s="202">
        <v>1020</v>
      </c>
      <c r="Q1036" s="210">
        <v>10</v>
      </c>
      <c r="R1036" s="205" t="s">
        <v>855</v>
      </c>
      <c r="S1036" s="206" t="s">
        <v>213</v>
      </c>
      <c r="T1036" s="211">
        <v>0</v>
      </c>
      <c r="U1036" s="211">
        <v>0</v>
      </c>
      <c r="V1036" s="213">
        <v>0</v>
      </c>
      <c r="W1036" s="213">
        <v>0</v>
      </c>
    </row>
    <row r="1037" spans="1:23" ht="15" customHeight="1">
      <c r="C1037" s="3">
        <v>10</v>
      </c>
      <c r="D1037" s="15" t="s">
        <v>791</v>
      </c>
      <c r="E1037" s="312" t="s">
        <v>121</v>
      </c>
      <c r="G1037" s="26">
        <v>0</v>
      </c>
      <c r="H1037" s="26">
        <v>5</v>
      </c>
      <c r="I1037" s="26">
        <v>0</v>
      </c>
      <c r="J1037" s="26">
        <v>18</v>
      </c>
      <c r="K1037" s="26">
        <v>100</v>
      </c>
      <c r="L1037" s="26">
        <v>0</v>
      </c>
      <c r="M1037" s="26">
        <v>0</v>
      </c>
      <c r="N1037" s="26">
        <v>100</v>
      </c>
      <c r="O1037" s="285"/>
      <c r="P1037" s="202">
        <v>1021</v>
      </c>
      <c r="Q1037" s="210">
        <v>10</v>
      </c>
      <c r="R1037" s="205" t="s">
        <v>2623</v>
      </c>
      <c r="S1037" s="206"/>
      <c r="T1037" s="211"/>
      <c r="U1037" s="211"/>
      <c r="V1037" s="213"/>
      <c r="W1037" s="213"/>
    </row>
    <row r="1038" spans="1:23" ht="15" customHeight="1">
      <c r="C1038" s="3">
        <v>10</v>
      </c>
      <c r="D1038" s="15" t="s">
        <v>792</v>
      </c>
      <c r="E1038" s="312" t="s">
        <v>123</v>
      </c>
      <c r="G1038" s="26">
        <v>0</v>
      </c>
      <c r="H1038" s="26">
        <v>0</v>
      </c>
      <c r="I1038" s="26">
        <v>0</v>
      </c>
      <c r="J1038" s="26">
        <v>88</v>
      </c>
      <c r="K1038" s="26">
        <v>100</v>
      </c>
      <c r="L1038" s="26">
        <v>0</v>
      </c>
      <c r="M1038" s="26">
        <v>100</v>
      </c>
      <c r="N1038" s="26">
        <v>100</v>
      </c>
      <c r="O1038" s="285"/>
      <c r="P1038" s="202">
        <v>1022</v>
      </c>
      <c r="Q1038" s="210">
        <v>10</v>
      </c>
      <c r="R1038" s="205" t="s">
        <v>104</v>
      </c>
      <c r="S1038" s="206"/>
      <c r="T1038" s="211">
        <v>13050</v>
      </c>
      <c r="U1038" s="211">
        <v>2578.73</v>
      </c>
      <c r="V1038" s="213">
        <v>3237.73</v>
      </c>
      <c r="W1038" s="213">
        <v>0</v>
      </c>
    </row>
    <row r="1039" spans="1:23" ht="15" customHeight="1">
      <c r="C1039" s="3">
        <v>10</v>
      </c>
      <c r="D1039" s="15" t="s">
        <v>793</v>
      </c>
      <c r="E1039" s="312" t="s">
        <v>125</v>
      </c>
      <c r="G1039" s="26">
        <v>0</v>
      </c>
      <c r="H1039" s="26">
        <v>0</v>
      </c>
      <c r="I1039" s="26">
        <v>0</v>
      </c>
      <c r="J1039" s="26">
        <v>0</v>
      </c>
      <c r="K1039" s="26">
        <v>100</v>
      </c>
      <c r="L1039" s="26">
        <v>0</v>
      </c>
      <c r="M1039" s="26">
        <v>0</v>
      </c>
      <c r="N1039" s="26">
        <v>0</v>
      </c>
      <c r="O1039" s="285"/>
      <c r="P1039" s="202">
        <v>1023</v>
      </c>
      <c r="Q1039" s="210">
        <v>10</v>
      </c>
      <c r="R1039" s="205" t="s">
        <v>135</v>
      </c>
      <c r="S1039" s="206"/>
      <c r="T1039" s="211"/>
      <c r="U1039" s="211"/>
      <c r="V1039" s="213"/>
      <c r="W1039" s="213"/>
    </row>
    <row r="1040" spans="1:23" ht="15" customHeight="1">
      <c r="C1040" s="3">
        <v>10</v>
      </c>
      <c r="D1040" s="15" t="s">
        <v>794</v>
      </c>
      <c r="E1040" s="312" t="s">
        <v>106</v>
      </c>
      <c r="G1040" s="26">
        <v>0</v>
      </c>
      <c r="H1040" s="26">
        <v>0</v>
      </c>
      <c r="I1040" s="26">
        <v>0</v>
      </c>
      <c r="J1040" s="26">
        <v>0</v>
      </c>
      <c r="K1040" s="26">
        <v>0</v>
      </c>
      <c r="L1040" s="26">
        <v>0</v>
      </c>
      <c r="M1040" s="26">
        <v>0</v>
      </c>
      <c r="N1040" s="26">
        <v>0</v>
      </c>
      <c r="O1040" s="285"/>
      <c r="P1040" s="202">
        <v>1024</v>
      </c>
      <c r="Q1040" s="210">
        <v>10</v>
      </c>
      <c r="R1040" s="205" t="s">
        <v>2626</v>
      </c>
      <c r="S1040" s="206"/>
      <c r="T1040" s="211"/>
      <c r="U1040" s="211"/>
      <c r="V1040" s="213"/>
      <c r="W1040" s="213"/>
    </row>
    <row r="1041" spans="1:23" ht="15" customHeight="1">
      <c r="C1041" s="3">
        <v>10</v>
      </c>
      <c r="D1041" s="15" t="s">
        <v>795</v>
      </c>
      <c r="E1041" s="312" t="s">
        <v>200</v>
      </c>
      <c r="G1041" s="26">
        <v>0</v>
      </c>
      <c r="H1041" s="26">
        <v>0</v>
      </c>
      <c r="I1041" s="26">
        <v>0</v>
      </c>
      <c r="J1041" s="26">
        <v>0</v>
      </c>
      <c r="K1041" s="26">
        <v>100</v>
      </c>
      <c r="L1041" s="26">
        <v>0</v>
      </c>
      <c r="M1041" s="26">
        <v>0</v>
      </c>
      <c r="N1041" s="26">
        <v>0</v>
      </c>
      <c r="O1041" s="285"/>
      <c r="P1041" s="202">
        <v>1025</v>
      </c>
      <c r="Q1041" s="210">
        <v>10</v>
      </c>
      <c r="R1041" s="205" t="s">
        <v>856</v>
      </c>
      <c r="S1041" s="206" t="s">
        <v>137</v>
      </c>
      <c r="T1041" s="211">
        <v>200</v>
      </c>
      <c r="U1041" s="211">
        <v>0</v>
      </c>
      <c r="V1041" s="213">
        <v>0</v>
      </c>
      <c r="W1041" s="213">
        <v>0</v>
      </c>
    </row>
    <row r="1042" spans="1:23" ht="15" customHeight="1">
      <c r="C1042" s="3">
        <v>10</v>
      </c>
      <c r="D1042" s="15" t="s">
        <v>796</v>
      </c>
      <c r="E1042" s="312" t="s">
        <v>132</v>
      </c>
      <c r="G1042" s="26">
        <v>37</v>
      </c>
      <c r="H1042" s="26">
        <v>77</v>
      </c>
      <c r="I1042" s="26">
        <v>6</v>
      </c>
      <c r="J1042" s="26">
        <v>0</v>
      </c>
      <c r="K1042" s="26">
        <v>0</v>
      </c>
      <c r="L1042" s="26">
        <v>0</v>
      </c>
      <c r="M1042" s="26">
        <v>0</v>
      </c>
      <c r="N1042" s="26">
        <v>0</v>
      </c>
      <c r="O1042" s="285"/>
      <c r="P1042" s="202">
        <v>1026</v>
      </c>
      <c r="Q1042" s="210">
        <v>10</v>
      </c>
      <c r="R1042" s="205" t="s">
        <v>857</v>
      </c>
      <c r="S1042" s="206" t="s">
        <v>139</v>
      </c>
      <c r="T1042" s="211">
        <v>450</v>
      </c>
      <c r="U1042" s="211">
        <v>0</v>
      </c>
      <c r="V1042" s="213">
        <v>1560.25</v>
      </c>
      <c r="W1042" s="213">
        <v>346.72</v>
      </c>
    </row>
    <row r="1043" spans="1:23" ht="15" customHeight="1">
      <c r="C1043" s="3">
        <v>10</v>
      </c>
      <c r="D1043" s="15" t="s">
        <v>797</v>
      </c>
      <c r="E1043" s="312" t="s">
        <v>134</v>
      </c>
      <c r="G1043" s="26">
        <v>0</v>
      </c>
      <c r="H1043" s="26">
        <v>0</v>
      </c>
      <c r="I1043" s="26">
        <v>0</v>
      </c>
      <c r="J1043" s="26">
        <v>0</v>
      </c>
      <c r="K1043" s="26">
        <v>0</v>
      </c>
      <c r="L1043" s="26">
        <v>0</v>
      </c>
      <c r="M1043" s="26">
        <v>0</v>
      </c>
      <c r="N1043" s="26">
        <v>0</v>
      </c>
      <c r="O1043" s="285"/>
      <c r="P1043" s="202">
        <v>1027</v>
      </c>
      <c r="Q1043" s="210">
        <v>10</v>
      </c>
      <c r="R1043" s="205" t="s">
        <v>858</v>
      </c>
      <c r="S1043" s="206" t="s">
        <v>141</v>
      </c>
      <c r="T1043" s="211">
        <v>0</v>
      </c>
      <c r="U1043" s="211">
        <v>0</v>
      </c>
      <c r="V1043" s="213">
        <v>0</v>
      </c>
      <c r="W1043" s="213">
        <v>0</v>
      </c>
    </row>
    <row r="1044" spans="1:23" ht="15" customHeight="1">
      <c r="G1044" s="26"/>
      <c r="H1044" s="26"/>
      <c r="I1044" s="26"/>
      <c r="J1044" s="26"/>
      <c r="K1044" s="26"/>
      <c r="L1044" s="26"/>
      <c r="M1044" s="26"/>
      <c r="N1044" s="26"/>
      <c r="P1044" s="202">
        <v>1028</v>
      </c>
      <c r="Q1044" s="210">
        <v>10</v>
      </c>
      <c r="R1044" s="205" t="s">
        <v>859</v>
      </c>
      <c r="S1044" s="206" t="s">
        <v>145</v>
      </c>
      <c r="T1044" s="211">
        <v>25000</v>
      </c>
      <c r="U1044" s="211">
        <v>0</v>
      </c>
      <c r="V1044" s="213">
        <v>0</v>
      </c>
      <c r="W1044" s="213">
        <v>0</v>
      </c>
    </row>
    <row r="1045" spans="1:23" s="200" customFormat="1" ht="15" customHeight="1">
      <c r="A1045" s="196" t="s">
        <v>104</v>
      </c>
      <c r="B1045" s="196" t="s">
        <v>2317</v>
      </c>
      <c r="C1045" s="75"/>
      <c r="D1045" s="323" t="s">
        <v>2106</v>
      </c>
      <c r="E1045" s="323"/>
      <c r="F1045" s="324"/>
      <c r="G1045" s="325">
        <f>SUM(G1032:G1044)</f>
        <v>38</v>
      </c>
      <c r="H1045" s="325">
        <f t="shared" ref="H1045:N1045" si="89">SUM(H1032:H1044)</f>
        <v>825</v>
      </c>
      <c r="I1045" s="325">
        <f t="shared" si="89"/>
        <v>2227</v>
      </c>
      <c r="J1045" s="325">
        <f t="shared" si="89"/>
        <v>1722</v>
      </c>
      <c r="K1045" s="325">
        <f t="shared" si="89"/>
        <v>3000</v>
      </c>
      <c r="L1045" s="325">
        <f t="shared" si="89"/>
        <v>1262</v>
      </c>
      <c r="M1045" s="325">
        <f t="shared" si="89"/>
        <v>2500</v>
      </c>
      <c r="N1045" s="325">
        <f t="shared" si="89"/>
        <v>3300</v>
      </c>
      <c r="O1045" s="287"/>
      <c r="P1045" s="202">
        <v>1029</v>
      </c>
      <c r="Q1045" s="210">
        <v>10</v>
      </c>
      <c r="R1045" s="205" t="s">
        <v>860</v>
      </c>
      <c r="S1045" s="206" t="s">
        <v>147</v>
      </c>
      <c r="T1045" s="211">
        <v>0</v>
      </c>
      <c r="U1045" s="211">
        <v>0</v>
      </c>
      <c r="V1045" s="213">
        <v>0</v>
      </c>
      <c r="W1045" s="213">
        <v>0</v>
      </c>
    </row>
    <row r="1046" spans="1:23" s="46" customFormat="1" ht="15" customHeight="1">
      <c r="A1046" s="2"/>
      <c r="B1046" s="2"/>
      <c r="C1046" s="3"/>
      <c r="D1046" s="47"/>
      <c r="E1046" s="47"/>
      <c r="F1046" s="191"/>
      <c r="G1046" s="48"/>
      <c r="H1046" s="48"/>
      <c r="I1046" s="48"/>
      <c r="J1046" s="48"/>
      <c r="K1046" s="48"/>
      <c r="L1046" s="48"/>
      <c r="M1046" s="48"/>
      <c r="N1046" s="48"/>
      <c r="O1046" s="289"/>
      <c r="P1046" s="202">
        <v>1030</v>
      </c>
      <c r="Q1046" s="210">
        <v>10</v>
      </c>
      <c r="R1046" s="205" t="s">
        <v>861</v>
      </c>
      <c r="S1046" s="206" t="s">
        <v>149</v>
      </c>
      <c r="T1046" s="211">
        <v>342</v>
      </c>
      <c r="U1046" s="211">
        <v>0</v>
      </c>
      <c r="V1046" s="213">
        <v>0</v>
      </c>
      <c r="W1046" s="213">
        <v>0</v>
      </c>
    </row>
    <row r="1047" spans="1:23" ht="15" customHeight="1">
      <c r="D1047" s="47" t="s">
        <v>2107</v>
      </c>
      <c r="G1047" s="26"/>
      <c r="H1047" s="26"/>
      <c r="I1047" s="26"/>
      <c r="J1047" s="26"/>
      <c r="K1047" s="26"/>
      <c r="L1047" s="26"/>
      <c r="M1047" s="26"/>
      <c r="N1047" s="26"/>
      <c r="P1047" s="202">
        <v>1031</v>
      </c>
      <c r="Q1047" s="210">
        <v>10</v>
      </c>
      <c r="R1047" s="205" t="s">
        <v>862</v>
      </c>
      <c r="S1047" s="206" t="s">
        <v>151</v>
      </c>
      <c r="T1047" s="211">
        <v>0</v>
      </c>
      <c r="U1047" s="211">
        <v>0</v>
      </c>
      <c r="V1047" s="213">
        <v>0</v>
      </c>
      <c r="W1047" s="213">
        <v>0</v>
      </c>
    </row>
    <row r="1048" spans="1:23" ht="15" customHeight="1">
      <c r="G1048" s="26"/>
      <c r="H1048" s="26"/>
      <c r="I1048" s="26"/>
      <c r="J1048" s="26"/>
      <c r="K1048" s="26"/>
      <c r="L1048" s="26"/>
      <c r="M1048" s="26"/>
      <c r="N1048" s="26"/>
      <c r="P1048" s="202">
        <v>1032</v>
      </c>
      <c r="Q1048" s="210">
        <v>10</v>
      </c>
      <c r="R1048" s="205" t="s">
        <v>863</v>
      </c>
      <c r="S1048" s="206" t="s">
        <v>153</v>
      </c>
      <c r="T1048" s="211">
        <v>3000</v>
      </c>
      <c r="U1048" s="211">
        <v>0</v>
      </c>
      <c r="V1048" s="213">
        <v>0</v>
      </c>
      <c r="W1048" s="213">
        <v>0</v>
      </c>
    </row>
    <row r="1049" spans="1:23" ht="15" customHeight="1">
      <c r="C1049" s="3">
        <v>10</v>
      </c>
      <c r="D1049" s="15" t="s">
        <v>798</v>
      </c>
      <c r="E1049" s="312" t="s">
        <v>137</v>
      </c>
      <c r="G1049" s="26">
        <v>870</v>
      </c>
      <c r="H1049" s="26">
        <v>958</v>
      </c>
      <c r="I1049" s="26">
        <v>561</v>
      </c>
      <c r="J1049" s="26">
        <v>642</v>
      </c>
      <c r="K1049" s="26">
        <v>1000</v>
      </c>
      <c r="L1049" s="26">
        <v>573</v>
      </c>
      <c r="M1049" s="26">
        <v>1100</v>
      </c>
      <c r="N1049" s="26">
        <v>1500</v>
      </c>
      <c r="O1049" s="285" t="s">
        <v>2851</v>
      </c>
      <c r="P1049" s="202">
        <v>1033</v>
      </c>
      <c r="Q1049" s="210">
        <v>10</v>
      </c>
      <c r="R1049" s="205" t="s">
        <v>864</v>
      </c>
      <c r="S1049" s="206" t="s">
        <v>159</v>
      </c>
      <c r="T1049" s="211">
        <v>32000</v>
      </c>
      <c r="U1049" s="211">
        <v>0</v>
      </c>
      <c r="V1049" s="213">
        <v>0</v>
      </c>
      <c r="W1049" s="213">
        <v>0</v>
      </c>
    </row>
    <row r="1050" spans="1:23" ht="15" customHeight="1">
      <c r="C1050" s="3">
        <v>10</v>
      </c>
      <c r="D1050" s="15" t="s">
        <v>799</v>
      </c>
      <c r="E1050" s="312" t="s">
        <v>139</v>
      </c>
      <c r="G1050" s="26">
        <v>10</v>
      </c>
      <c r="H1050" s="26">
        <v>170</v>
      </c>
      <c r="I1050" s="26">
        <v>517</v>
      </c>
      <c r="J1050" s="26">
        <v>140</v>
      </c>
      <c r="K1050" s="26">
        <v>200</v>
      </c>
      <c r="L1050" s="26">
        <v>102</v>
      </c>
      <c r="M1050" s="26">
        <v>102</v>
      </c>
      <c r="N1050" s="26">
        <v>200</v>
      </c>
      <c r="O1050" s="285"/>
      <c r="P1050" s="202">
        <v>1034</v>
      </c>
      <c r="Q1050" s="210">
        <v>10</v>
      </c>
      <c r="R1050" s="205" t="s">
        <v>865</v>
      </c>
      <c r="S1050" s="206" t="s">
        <v>229</v>
      </c>
      <c r="T1050" s="211">
        <v>0</v>
      </c>
      <c r="U1050" s="211">
        <v>0</v>
      </c>
      <c r="V1050" s="213">
        <v>0</v>
      </c>
      <c r="W1050" s="213">
        <v>0</v>
      </c>
    </row>
    <row r="1051" spans="1:23" ht="15" customHeight="1">
      <c r="C1051" s="3">
        <v>10</v>
      </c>
      <c r="D1051" s="15" t="s">
        <v>800</v>
      </c>
      <c r="E1051" s="312" t="s">
        <v>801</v>
      </c>
      <c r="G1051" s="26">
        <v>1645</v>
      </c>
      <c r="H1051" s="26">
        <v>4655</v>
      </c>
      <c r="I1051" s="26">
        <v>15435</v>
      </c>
      <c r="J1051" s="26">
        <v>16130</v>
      </c>
      <c r="K1051" s="26">
        <v>12000</v>
      </c>
      <c r="L1051" s="26">
        <v>3968</v>
      </c>
      <c r="M1051" s="26">
        <v>10000</v>
      </c>
      <c r="N1051" s="26">
        <v>12000</v>
      </c>
      <c r="O1051" s="285"/>
      <c r="P1051" s="202">
        <v>1035</v>
      </c>
      <c r="Q1051" s="210">
        <v>10</v>
      </c>
      <c r="R1051" s="205" t="s">
        <v>866</v>
      </c>
      <c r="S1051" s="206" t="s">
        <v>162</v>
      </c>
      <c r="T1051" s="211">
        <v>75</v>
      </c>
      <c r="U1051" s="211">
        <v>0</v>
      </c>
      <c r="V1051" s="213">
        <v>372.95</v>
      </c>
      <c r="W1051" s="213">
        <v>497.27</v>
      </c>
    </row>
    <row r="1052" spans="1:23" ht="15" customHeight="1">
      <c r="C1052" s="3">
        <v>10</v>
      </c>
      <c r="D1052" s="15" t="s">
        <v>802</v>
      </c>
      <c r="E1052" s="312" t="s">
        <v>141</v>
      </c>
      <c r="G1052" s="26">
        <v>0</v>
      </c>
      <c r="H1052" s="26">
        <v>0</v>
      </c>
      <c r="I1052" s="26">
        <v>0</v>
      </c>
      <c r="J1052" s="26">
        <v>0</v>
      </c>
      <c r="K1052" s="26">
        <v>0</v>
      </c>
      <c r="L1052" s="26">
        <v>0</v>
      </c>
      <c r="M1052" s="26">
        <v>0</v>
      </c>
      <c r="N1052" s="26">
        <v>0</v>
      </c>
      <c r="O1052" s="285"/>
      <c r="P1052" s="202">
        <v>1036</v>
      </c>
      <c r="Q1052" s="210">
        <v>10</v>
      </c>
      <c r="R1052" s="205" t="s">
        <v>2623</v>
      </c>
      <c r="S1052" s="206"/>
      <c r="T1052" s="211"/>
      <c r="U1052" s="211"/>
      <c r="V1052" s="213"/>
      <c r="W1052" s="213"/>
    </row>
    <row r="1053" spans="1:23" ht="15" customHeight="1">
      <c r="C1053" s="3">
        <v>10</v>
      </c>
      <c r="D1053" s="15" t="s">
        <v>803</v>
      </c>
      <c r="E1053" s="312" t="s">
        <v>143</v>
      </c>
      <c r="G1053" s="26">
        <v>0</v>
      </c>
      <c r="H1053" s="26">
        <v>0</v>
      </c>
      <c r="I1053" s="26">
        <v>0</v>
      </c>
      <c r="J1053" s="26">
        <v>0</v>
      </c>
      <c r="K1053" s="26">
        <v>0</v>
      </c>
      <c r="L1053" s="26">
        <v>0</v>
      </c>
      <c r="M1053" s="26">
        <v>0</v>
      </c>
      <c r="N1053" s="26">
        <v>0</v>
      </c>
      <c r="O1053" s="285"/>
      <c r="P1053" s="202">
        <v>1037</v>
      </c>
      <c r="Q1053" s="210">
        <v>10</v>
      </c>
      <c r="R1053" s="205" t="s">
        <v>135</v>
      </c>
      <c r="S1053" s="206"/>
      <c r="T1053" s="211">
        <v>61067</v>
      </c>
      <c r="U1053" s="211">
        <v>0</v>
      </c>
      <c r="V1053" s="213">
        <v>1933.2</v>
      </c>
      <c r="W1053" s="213">
        <v>0</v>
      </c>
    </row>
    <row r="1054" spans="1:23" ht="15" customHeight="1">
      <c r="C1054" s="3">
        <v>10</v>
      </c>
      <c r="D1054" s="15" t="s">
        <v>804</v>
      </c>
      <c r="E1054" s="312" t="s">
        <v>145</v>
      </c>
      <c r="G1054" s="26">
        <v>0</v>
      </c>
      <c r="H1054" s="26">
        <v>0</v>
      </c>
      <c r="I1054" s="26">
        <v>0</v>
      </c>
      <c r="J1054" s="26">
        <v>0</v>
      </c>
      <c r="K1054" s="26">
        <v>0</v>
      </c>
      <c r="L1054" s="26">
        <v>0</v>
      </c>
      <c r="M1054" s="26">
        <v>0</v>
      </c>
      <c r="N1054" s="26">
        <v>0</v>
      </c>
      <c r="O1054" s="285"/>
      <c r="P1054" s="202">
        <v>1038</v>
      </c>
      <c r="Q1054" s="210">
        <v>10</v>
      </c>
      <c r="R1054" s="205" t="s">
        <v>163</v>
      </c>
      <c r="S1054" s="206"/>
      <c r="T1054" s="211"/>
      <c r="U1054" s="211"/>
      <c r="V1054" s="213"/>
      <c r="W1054" s="213"/>
    </row>
    <row r="1055" spans="1:23" ht="15" customHeight="1">
      <c r="C1055" s="3">
        <v>10</v>
      </c>
      <c r="D1055" s="15" t="s">
        <v>805</v>
      </c>
      <c r="E1055" s="312" t="s">
        <v>147</v>
      </c>
      <c r="G1055" s="26">
        <v>0</v>
      </c>
      <c r="H1055" s="26">
        <v>0</v>
      </c>
      <c r="I1055" s="26">
        <v>0</v>
      </c>
      <c r="J1055" s="26">
        <v>0</v>
      </c>
      <c r="K1055" s="26">
        <v>0</v>
      </c>
      <c r="L1055" s="26">
        <v>0</v>
      </c>
      <c r="M1055" s="26">
        <v>0</v>
      </c>
      <c r="N1055" s="26">
        <v>0</v>
      </c>
      <c r="O1055" s="285"/>
      <c r="P1055" s="202">
        <v>1039</v>
      </c>
      <c r="Q1055" s="210">
        <v>10</v>
      </c>
      <c r="R1055" s="205" t="s">
        <v>2627</v>
      </c>
      <c r="S1055" s="206"/>
      <c r="T1055" s="211"/>
      <c r="U1055" s="211"/>
      <c r="V1055" s="213"/>
      <c r="W1055" s="213"/>
    </row>
    <row r="1056" spans="1:23" ht="15" customHeight="1">
      <c r="C1056" s="3">
        <v>10</v>
      </c>
      <c r="D1056" s="15" t="s">
        <v>806</v>
      </c>
      <c r="E1056" s="312" t="s">
        <v>151</v>
      </c>
      <c r="G1056" s="26">
        <v>198</v>
      </c>
      <c r="H1056" s="26">
        <v>495</v>
      </c>
      <c r="I1056" s="26">
        <v>396</v>
      </c>
      <c r="J1056" s="26">
        <v>99</v>
      </c>
      <c r="K1056" s="26">
        <v>500</v>
      </c>
      <c r="L1056" s="26">
        <v>0</v>
      </c>
      <c r="M1056" s="26">
        <v>150</v>
      </c>
      <c r="N1056" s="26">
        <v>200</v>
      </c>
      <c r="O1056" s="285"/>
      <c r="P1056" s="202">
        <v>1040</v>
      </c>
      <c r="Q1056" s="210">
        <v>10</v>
      </c>
      <c r="R1056" s="205" t="s">
        <v>867</v>
      </c>
      <c r="S1056" s="206" t="s">
        <v>232</v>
      </c>
      <c r="T1056" s="211">
        <v>0</v>
      </c>
      <c r="U1056" s="211">
        <v>0</v>
      </c>
      <c r="V1056" s="213">
        <v>0</v>
      </c>
      <c r="W1056" s="213">
        <v>0</v>
      </c>
    </row>
    <row r="1057" spans="1:23" ht="15" customHeight="1">
      <c r="C1057" s="3">
        <v>10</v>
      </c>
      <c r="D1057" s="15" t="s">
        <v>807</v>
      </c>
      <c r="E1057" s="312" t="s">
        <v>153</v>
      </c>
      <c r="G1057" s="26">
        <v>154</v>
      </c>
      <c r="H1057" s="26">
        <v>180</v>
      </c>
      <c r="I1057" s="26">
        <v>153</v>
      </c>
      <c r="J1057" s="26">
        <v>4107</v>
      </c>
      <c r="K1057" s="26">
        <v>2000</v>
      </c>
      <c r="L1057" s="26">
        <v>1182</v>
      </c>
      <c r="M1057" s="26">
        <v>4500</v>
      </c>
      <c r="N1057" s="26">
        <v>3000</v>
      </c>
      <c r="O1057" s="285"/>
      <c r="P1057" s="202">
        <v>1041</v>
      </c>
      <c r="Q1057" s="210">
        <v>10</v>
      </c>
      <c r="R1057" s="205" t="s">
        <v>868</v>
      </c>
      <c r="S1057" s="206" t="s">
        <v>869</v>
      </c>
      <c r="T1057" s="211">
        <v>500</v>
      </c>
      <c r="U1057" s="211">
        <v>5615.41</v>
      </c>
      <c r="V1057" s="213">
        <v>6150.04</v>
      </c>
      <c r="W1057" s="213">
        <v>230.01</v>
      </c>
    </row>
    <row r="1058" spans="1:23" ht="15" customHeight="1">
      <c r="C1058" s="3">
        <v>10</v>
      </c>
      <c r="D1058" s="15" t="s">
        <v>808</v>
      </c>
      <c r="E1058" s="312" t="s">
        <v>809</v>
      </c>
      <c r="G1058" s="26">
        <v>79200</v>
      </c>
      <c r="H1058" s="26">
        <v>70677</v>
      </c>
      <c r="I1058" s="26">
        <v>23878</v>
      </c>
      <c r="J1058" s="26">
        <v>128447</v>
      </c>
      <c r="K1058" s="26">
        <v>55000</v>
      </c>
      <c r="L1058" s="26">
        <v>60806</v>
      </c>
      <c r="M1058" s="26">
        <v>80000</v>
      </c>
      <c r="N1058" s="26">
        <v>80000</v>
      </c>
      <c r="O1058" s="285"/>
      <c r="P1058" s="202">
        <v>1042</v>
      </c>
      <c r="Q1058" s="210">
        <v>10</v>
      </c>
      <c r="R1058" s="205" t="s">
        <v>870</v>
      </c>
      <c r="S1058" s="206" t="s">
        <v>329</v>
      </c>
      <c r="T1058" s="211">
        <v>0</v>
      </c>
      <c r="U1058" s="211">
        <v>0</v>
      </c>
      <c r="V1058" s="213">
        <v>0</v>
      </c>
      <c r="W1058" s="213">
        <v>0</v>
      </c>
    </row>
    <row r="1059" spans="1:23" ht="15" customHeight="1">
      <c r="C1059" s="3">
        <v>10</v>
      </c>
      <c r="D1059" s="15" t="s">
        <v>810</v>
      </c>
      <c r="E1059" s="312" t="s">
        <v>157</v>
      </c>
      <c r="G1059" s="26">
        <v>0</v>
      </c>
      <c r="H1059" s="26">
        <v>0</v>
      </c>
      <c r="I1059" s="26">
        <v>0</v>
      </c>
      <c r="J1059" s="26">
        <v>0</v>
      </c>
      <c r="K1059" s="26">
        <v>0</v>
      </c>
      <c r="L1059" s="26">
        <v>0</v>
      </c>
      <c r="M1059" s="26">
        <v>0</v>
      </c>
      <c r="N1059" s="26">
        <v>0</v>
      </c>
      <c r="O1059" s="285"/>
      <c r="P1059" s="202">
        <v>1043</v>
      </c>
      <c r="Q1059" s="210">
        <v>10</v>
      </c>
      <c r="R1059" s="205" t="s">
        <v>871</v>
      </c>
      <c r="S1059" s="206" t="s">
        <v>165</v>
      </c>
      <c r="T1059" s="211">
        <v>0</v>
      </c>
      <c r="U1059" s="211">
        <v>0</v>
      </c>
      <c r="V1059" s="213">
        <v>0</v>
      </c>
      <c r="W1059" s="213">
        <v>0</v>
      </c>
    </row>
    <row r="1060" spans="1:23" ht="15" customHeight="1">
      <c r="C1060" s="3">
        <v>10</v>
      </c>
      <c r="D1060" s="15" t="s">
        <v>811</v>
      </c>
      <c r="E1060" s="312" t="s">
        <v>812</v>
      </c>
      <c r="G1060" s="26">
        <v>-18</v>
      </c>
      <c r="H1060" s="26">
        <v>1051</v>
      </c>
      <c r="I1060" s="26">
        <v>1548</v>
      </c>
      <c r="J1060" s="26">
        <v>48</v>
      </c>
      <c r="K1060" s="26">
        <v>1000</v>
      </c>
      <c r="L1060" s="26">
        <v>1800</v>
      </c>
      <c r="M1060" s="26">
        <v>4000</v>
      </c>
      <c r="N1060" s="26">
        <v>5000</v>
      </c>
      <c r="O1060" s="285"/>
      <c r="P1060" s="202">
        <v>1044</v>
      </c>
      <c r="Q1060" s="210">
        <v>10</v>
      </c>
      <c r="R1060" s="205" t="s">
        <v>872</v>
      </c>
      <c r="S1060" s="206" t="s">
        <v>167</v>
      </c>
      <c r="T1060" s="211">
        <v>500</v>
      </c>
      <c r="U1060" s="211">
        <v>0</v>
      </c>
      <c r="V1060" s="213">
        <v>0</v>
      </c>
      <c r="W1060" s="213">
        <v>0</v>
      </c>
    </row>
    <row r="1061" spans="1:23" ht="15" customHeight="1">
      <c r="C1061" s="3">
        <v>10</v>
      </c>
      <c r="D1061" s="15" t="s">
        <v>813</v>
      </c>
      <c r="E1061" s="312" t="s">
        <v>159</v>
      </c>
      <c r="G1061" s="26">
        <v>0</v>
      </c>
      <c r="H1061" s="26">
        <v>0</v>
      </c>
      <c r="I1061" s="26">
        <v>0</v>
      </c>
      <c r="J1061" s="26">
        <v>0</v>
      </c>
      <c r="K1061" s="26">
        <v>0</v>
      </c>
      <c r="L1061" s="26">
        <v>0</v>
      </c>
      <c r="M1061" s="26">
        <v>0</v>
      </c>
      <c r="N1061" s="26">
        <v>0</v>
      </c>
      <c r="O1061" s="285"/>
      <c r="P1061" s="202">
        <v>1045</v>
      </c>
      <c r="Q1061" s="210">
        <v>10</v>
      </c>
      <c r="R1061" s="205" t="s">
        <v>873</v>
      </c>
      <c r="S1061" s="206" t="s">
        <v>169</v>
      </c>
      <c r="T1061" s="211">
        <v>0</v>
      </c>
      <c r="U1061" s="211">
        <v>0</v>
      </c>
      <c r="V1061" s="213">
        <v>0</v>
      </c>
      <c r="W1061" s="213">
        <v>0</v>
      </c>
    </row>
    <row r="1062" spans="1:23" ht="15" customHeight="1">
      <c r="C1062" s="3">
        <v>10</v>
      </c>
      <c r="D1062" s="15" t="s">
        <v>814</v>
      </c>
      <c r="E1062" s="312" t="s">
        <v>229</v>
      </c>
      <c r="G1062" s="26">
        <v>0</v>
      </c>
      <c r="H1062" s="26">
        <v>0</v>
      </c>
      <c r="I1062" s="26">
        <v>0</v>
      </c>
      <c r="J1062" s="26">
        <v>0</v>
      </c>
      <c r="K1062" s="26">
        <v>0</v>
      </c>
      <c r="L1062" s="26">
        <v>0</v>
      </c>
      <c r="M1062" s="26">
        <v>0</v>
      </c>
      <c r="N1062" s="26">
        <v>0</v>
      </c>
      <c r="O1062" s="285"/>
      <c r="P1062" s="202">
        <v>1046</v>
      </c>
      <c r="Q1062" s="210">
        <v>10</v>
      </c>
      <c r="R1062" s="205" t="s">
        <v>874</v>
      </c>
      <c r="S1062" s="206" t="s">
        <v>173</v>
      </c>
      <c r="T1062" s="211">
        <v>0</v>
      </c>
      <c r="U1062" s="211">
        <v>0</v>
      </c>
      <c r="V1062" s="213">
        <v>0</v>
      </c>
      <c r="W1062" s="213">
        <v>0</v>
      </c>
    </row>
    <row r="1063" spans="1:23" ht="15" customHeight="1">
      <c r="C1063" s="3">
        <v>10</v>
      </c>
      <c r="D1063" s="15" t="s">
        <v>815</v>
      </c>
      <c r="E1063" s="312" t="s">
        <v>162</v>
      </c>
      <c r="G1063" s="26">
        <v>0</v>
      </c>
      <c r="H1063" s="26">
        <v>0</v>
      </c>
      <c r="I1063" s="26">
        <v>0</v>
      </c>
      <c r="J1063" s="26">
        <v>30</v>
      </c>
      <c r="K1063" s="26">
        <v>50</v>
      </c>
      <c r="L1063" s="26">
        <v>0</v>
      </c>
      <c r="M1063" s="26">
        <v>0</v>
      </c>
      <c r="N1063" s="26">
        <v>50</v>
      </c>
      <c r="O1063" s="285"/>
      <c r="P1063" s="202">
        <v>1047</v>
      </c>
      <c r="Q1063" s="210">
        <v>10</v>
      </c>
      <c r="R1063" s="205" t="s">
        <v>875</v>
      </c>
      <c r="S1063" s="206" t="s">
        <v>175</v>
      </c>
      <c r="T1063" s="211">
        <v>0</v>
      </c>
      <c r="U1063" s="211">
        <v>0</v>
      </c>
      <c r="V1063" s="213">
        <v>0</v>
      </c>
      <c r="W1063" s="213">
        <v>0</v>
      </c>
    </row>
    <row r="1064" spans="1:23" ht="15" customHeight="1">
      <c r="C1064" s="3">
        <v>10</v>
      </c>
      <c r="D1064" s="15" t="s">
        <v>816</v>
      </c>
      <c r="E1064" s="312" t="s">
        <v>817</v>
      </c>
      <c r="G1064" s="26">
        <v>0</v>
      </c>
      <c r="H1064" s="26">
        <v>0</v>
      </c>
      <c r="I1064" s="26">
        <v>0</v>
      </c>
      <c r="J1064" s="26">
        <v>0</v>
      </c>
      <c r="K1064" s="26">
        <v>3500</v>
      </c>
      <c r="L1064" s="26">
        <v>0</v>
      </c>
      <c r="M1064" s="26">
        <v>0</v>
      </c>
      <c r="N1064" s="26">
        <v>8000</v>
      </c>
      <c r="O1064" s="285" t="s">
        <v>2853</v>
      </c>
      <c r="P1064" s="202">
        <v>1048</v>
      </c>
      <c r="Q1064" s="210">
        <v>10</v>
      </c>
      <c r="R1064" s="205" t="s">
        <v>876</v>
      </c>
      <c r="S1064" s="206" t="s">
        <v>244</v>
      </c>
      <c r="T1064" s="211">
        <v>0</v>
      </c>
      <c r="U1064" s="211">
        <v>0</v>
      </c>
      <c r="V1064" s="213">
        <v>0</v>
      </c>
      <c r="W1064" s="213">
        <v>0</v>
      </c>
    </row>
    <row r="1065" spans="1:23" ht="15" customHeight="1">
      <c r="C1065" s="3">
        <v>10</v>
      </c>
      <c r="D1065" s="15" t="s">
        <v>818</v>
      </c>
      <c r="E1065" s="312" t="s">
        <v>819</v>
      </c>
      <c r="G1065" s="26">
        <v>0</v>
      </c>
      <c r="H1065" s="26">
        <v>0</v>
      </c>
      <c r="I1065" s="26">
        <v>0</v>
      </c>
      <c r="J1065" s="26">
        <v>2149</v>
      </c>
      <c r="K1065" s="26">
        <v>3500</v>
      </c>
      <c r="L1065" s="26">
        <v>4145</v>
      </c>
      <c r="M1065" s="26">
        <v>4145</v>
      </c>
      <c r="N1065" s="26">
        <v>5000</v>
      </c>
      <c r="O1065" s="285" t="s">
        <v>2852</v>
      </c>
      <c r="P1065" s="202">
        <v>1049</v>
      </c>
      <c r="Q1065" s="210">
        <v>10</v>
      </c>
      <c r="R1065" s="205" t="s">
        <v>2623</v>
      </c>
      <c r="S1065" s="206"/>
      <c r="T1065" s="211"/>
      <c r="U1065" s="211"/>
      <c r="V1065" s="213"/>
      <c r="W1065" s="213"/>
    </row>
    <row r="1066" spans="1:23" ht="15" customHeight="1">
      <c r="G1066" s="26"/>
      <c r="H1066" s="26"/>
      <c r="I1066" s="26"/>
      <c r="J1066" s="26"/>
      <c r="K1066" s="26"/>
      <c r="L1066" s="26"/>
      <c r="M1066" s="26"/>
      <c r="N1066" s="26"/>
      <c r="P1066" s="202">
        <v>1050</v>
      </c>
      <c r="Q1066" s="210">
        <v>10</v>
      </c>
      <c r="R1066" s="205" t="s">
        <v>163</v>
      </c>
      <c r="S1066" s="206"/>
      <c r="T1066" s="211">
        <v>1000</v>
      </c>
      <c r="U1066" s="211">
        <v>5615.41</v>
      </c>
      <c r="V1066" s="213">
        <v>6150.04</v>
      </c>
      <c r="W1066" s="213">
        <v>0</v>
      </c>
    </row>
    <row r="1067" spans="1:23" s="22" customFormat="1" ht="15" customHeight="1">
      <c r="A1067" s="2" t="s">
        <v>135</v>
      </c>
      <c r="B1067" s="2" t="s">
        <v>2317</v>
      </c>
      <c r="C1067" s="3"/>
      <c r="D1067" s="323" t="s">
        <v>2108</v>
      </c>
      <c r="E1067" s="323"/>
      <c r="F1067" s="324"/>
      <c r="G1067" s="325">
        <f>SUM(G1047:G1066)</f>
        <v>82059</v>
      </c>
      <c r="H1067" s="325">
        <f t="shared" ref="H1067:N1067" si="90">SUM(H1047:H1066)</f>
        <v>78186</v>
      </c>
      <c r="I1067" s="325">
        <f t="shared" si="90"/>
        <v>42488</v>
      </c>
      <c r="J1067" s="325">
        <f t="shared" si="90"/>
        <v>151792</v>
      </c>
      <c r="K1067" s="325">
        <f t="shared" si="90"/>
        <v>78750</v>
      </c>
      <c r="L1067" s="325">
        <f t="shared" si="90"/>
        <v>72576</v>
      </c>
      <c r="M1067" s="325">
        <f t="shared" si="90"/>
        <v>103997</v>
      </c>
      <c r="N1067" s="325">
        <f t="shared" si="90"/>
        <v>114950</v>
      </c>
      <c r="O1067" s="290"/>
      <c r="P1067" s="202">
        <v>1051</v>
      </c>
      <c r="Q1067" s="210">
        <v>10</v>
      </c>
      <c r="R1067" s="205" t="s">
        <v>245</v>
      </c>
      <c r="S1067" s="206"/>
      <c r="T1067" s="211"/>
      <c r="U1067" s="211"/>
      <c r="V1067" s="213"/>
      <c r="W1067" s="213"/>
    </row>
    <row r="1068" spans="1:23" s="46" customFormat="1" ht="15" customHeight="1">
      <c r="A1068" s="2"/>
      <c r="B1068" s="2"/>
      <c r="C1068" s="3"/>
      <c r="D1068" s="47"/>
      <c r="E1068" s="47"/>
      <c r="F1068" s="191"/>
      <c r="G1068" s="48"/>
      <c r="H1068" s="48"/>
      <c r="I1068" s="48"/>
      <c r="J1068" s="48"/>
      <c r="K1068" s="48"/>
      <c r="L1068" s="48"/>
      <c r="M1068" s="48"/>
      <c r="N1068" s="48"/>
      <c r="O1068" s="289"/>
      <c r="P1068" s="202">
        <v>1052</v>
      </c>
      <c r="Q1068" s="210">
        <v>10</v>
      </c>
      <c r="R1068" s="205" t="s">
        <v>2628</v>
      </c>
      <c r="S1068" s="206"/>
      <c r="T1068" s="211"/>
      <c r="U1068" s="211"/>
      <c r="V1068" s="213"/>
      <c r="W1068" s="213"/>
    </row>
    <row r="1069" spans="1:23" ht="15" customHeight="1">
      <c r="D1069" s="47" t="s">
        <v>2109</v>
      </c>
      <c r="G1069" s="26"/>
      <c r="H1069" s="26"/>
      <c r="I1069" s="26"/>
      <c r="J1069" s="26"/>
      <c r="K1069" s="26"/>
      <c r="L1069" s="26"/>
      <c r="M1069" s="26"/>
      <c r="N1069" s="26"/>
      <c r="P1069" s="202">
        <v>1053</v>
      </c>
      <c r="Q1069" s="210">
        <v>10</v>
      </c>
      <c r="R1069" s="205" t="s">
        <v>877</v>
      </c>
      <c r="S1069" s="206" t="s">
        <v>232</v>
      </c>
      <c r="T1069" s="211">
        <v>0</v>
      </c>
      <c r="U1069" s="211">
        <v>0</v>
      </c>
      <c r="V1069" s="213">
        <v>0</v>
      </c>
      <c r="W1069" s="213">
        <v>0</v>
      </c>
    </row>
    <row r="1070" spans="1:23" ht="15" customHeight="1">
      <c r="G1070" s="26"/>
      <c r="H1070" s="26"/>
      <c r="I1070" s="26"/>
      <c r="J1070" s="26"/>
      <c r="K1070" s="26"/>
      <c r="L1070" s="26"/>
      <c r="M1070" s="26"/>
      <c r="N1070" s="26"/>
      <c r="O1070" s="293"/>
      <c r="P1070" s="202">
        <v>1054</v>
      </c>
      <c r="Q1070" s="210">
        <v>10</v>
      </c>
      <c r="R1070" s="205" t="s">
        <v>878</v>
      </c>
      <c r="S1070" s="206" t="s">
        <v>329</v>
      </c>
      <c r="T1070" s="211">
        <v>0</v>
      </c>
      <c r="U1070" s="211">
        <v>0</v>
      </c>
      <c r="V1070" s="213">
        <v>0</v>
      </c>
      <c r="W1070" s="213">
        <v>0</v>
      </c>
    </row>
    <row r="1071" spans="1:23" ht="15" customHeight="1">
      <c r="C1071" s="3">
        <v>10</v>
      </c>
      <c r="D1071" s="15" t="s">
        <v>820</v>
      </c>
      <c r="E1071" s="312" t="s">
        <v>329</v>
      </c>
      <c r="G1071" s="26">
        <v>0</v>
      </c>
      <c r="H1071" s="26">
        <v>0</v>
      </c>
      <c r="I1071" s="26">
        <v>0</v>
      </c>
      <c r="J1071" s="26">
        <v>0</v>
      </c>
      <c r="K1071" s="26">
        <v>0</v>
      </c>
      <c r="L1071" s="26">
        <v>0</v>
      </c>
      <c r="M1071" s="26">
        <v>0</v>
      </c>
      <c r="N1071" s="26">
        <v>0</v>
      </c>
      <c r="O1071" s="285"/>
      <c r="P1071" s="202">
        <v>1055</v>
      </c>
      <c r="Q1071" s="210">
        <v>10</v>
      </c>
      <c r="R1071" s="205" t="s">
        <v>879</v>
      </c>
      <c r="S1071" s="206" t="s">
        <v>165</v>
      </c>
      <c r="T1071" s="211">
        <v>0</v>
      </c>
      <c r="U1071" s="211">
        <v>0</v>
      </c>
      <c r="V1071" s="213">
        <v>0</v>
      </c>
      <c r="W1071" s="213">
        <v>0</v>
      </c>
    </row>
    <row r="1072" spans="1:23" ht="15" customHeight="1">
      <c r="C1072" s="3">
        <v>10</v>
      </c>
      <c r="D1072" s="15" t="s">
        <v>821</v>
      </c>
      <c r="E1072" s="312" t="s">
        <v>165</v>
      </c>
      <c r="G1072" s="26">
        <v>31</v>
      </c>
      <c r="H1072" s="26">
        <v>2000</v>
      </c>
      <c r="I1072" s="26">
        <v>-420</v>
      </c>
      <c r="J1072" s="26">
        <v>903</v>
      </c>
      <c r="K1072" s="26">
        <v>1500</v>
      </c>
      <c r="L1072" s="26">
        <v>0</v>
      </c>
      <c r="M1072" s="26">
        <v>1500</v>
      </c>
      <c r="N1072" s="26">
        <v>1500</v>
      </c>
      <c r="O1072" s="285"/>
      <c r="P1072" s="202">
        <v>1056</v>
      </c>
      <c r="Q1072" s="210">
        <v>10</v>
      </c>
      <c r="R1072" s="205" t="s">
        <v>880</v>
      </c>
      <c r="S1072" s="206" t="s">
        <v>167</v>
      </c>
      <c r="T1072" s="211">
        <v>0</v>
      </c>
      <c r="U1072" s="211">
        <v>0</v>
      </c>
      <c r="V1072" s="213">
        <v>0</v>
      </c>
      <c r="W1072" s="213">
        <v>0</v>
      </c>
    </row>
    <row r="1073" spans="1:23" ht="15" customHeight="1">
      <c r="C1073" s="3">
        <v>10</v>
      </c>
      <c r="D1073" s="15" t="s">
        <v>822</v>
      </c>
      <c r="E1073" s="312" t="s">
        <v>167</v>
      </c>
      <c r="G1073" s="26">
        <v>0</v>
      </c>
      <c r="H1073" s="26">
        <v>0</v>
      </c>
      <c r="I1073" s="26">
        <v>0</v>
      </c>
      <c r="J1073" s="26">
        <v>0</v>
      </c>
      <c r="K1073" s="26">
        <v>0</v>
      </c>
      <c r="L1073" s="26">
        <v>0</v>
      </c>
      <c r="M1073" s="26">
        <v>0</v>
      </c>
      <c r="N1073" s="26">
        <v>0</v>
      </c>
      <c r="O1073" s="285"/>
      <c r="P1073" s="202">
        <v>1057</v>
      </c>
      <c r="Q1073" s="210">
        <v>10</v>
      </c>
      <c r="R1073" s="205" t="s">
        <v>881</v>
      </c>
      <c r="S1073" s="206" t="s">
        <v>247</v>
      </c>
      <c r="T1073" s="211">
        <v>4000</v>
      </c>
      <c r="U1073" s="211">
        <v>521.17999999999995</v>
      </c>
      <c r="V1073" s="213">
        <v>521.17999999999995</v>
      </c>
      <c r="W1073" s="213">
        <v>13.03</v>
      </c>
    </row>
    <row r="1074" spans="1:23" ht="15" customHeight="1">
      <c r="C1074" s="3">
        <v>10</v>
      </c>
      <c r="D1074" s="15" t="s">
        <v>823</v>
      </c>
      <c r="E1074" s="312" t="s">
        <v>169</v>
      </c>
      <c r="G1074" s="26">
        <v>0</v>
      </c>
      <c r="H1074" s="26">
        <v>4385</v>
      </c>
      <c r="I1074" s="26">
        <v>3792</v>
      </c>
      <c r="J1074" s="26">
        <v>5504</v>
      </c>
      <c r="K1074" s="26">
        <v>6000</v>
      </c>
      <c r="L1074" s="26">
        <v>4487</v>
      </c>
      <c r="M1074" s="26">
        <v>6000</v>
      </c>
      <c r="N1074" s="26">
        <v>6000</v>
      </c>
      <c r="O1074" s="285"/>
      <c r="P1074" s="202">
        <v>1058</v>
      </c>
      <c r="Q1074" s="210">
        <v>10</v>
      </c>
      <c r="R1074" s="205" t="s">
        <v>882</v>
      </c>
      <c r="S1074" s="206" t="s">
        <v>244</v>
      </c>
      <c r="T1074" s="211">
        <v>0</v>
      </c>
      <c r="U1074" s="211">
        <v>0</v>
      </c>
      <c r="V1074" s="213">
        <v>0</v>
      </c>
      <c r="W1074" s="213">
        <v>0</v>
      </c>
    </row>
    <row r="1075" spans="1:23" ht="15" customHeight="1">
      <c r="C1075" s="3">
        <v>10</v>
      </c>
      <c r="D1075" s="15" t="s">
        <v>824</v>
      </c>
      <c r="E1075" s="312" t="s">
        <v>173</v>
      </c>
      <c r="G1075" s="26">
        <v>0</v>
      </c>
      <c r="H1075" s="26">
        <v>0</v>
      </c>
      <c r="I1075" s="26">
        <v>0</v>
      </c>
      <c r="J1075" s="26">
        <v>0</v>
      </c>
      <c r="K1075" s="26">
        <v>0</v>
      </c>
      <c r="L1075" s="26">
        <v>0</v>
      </c>
      <c r="M1075" s="26">
        <v>0</v>
      </c>
      <c r="N1075" s="26">
        <v>0</v>
      </c>
      <c r="O1075" s="285"/>
      <c r="P1075" s="202">
        <v>1059</v>
      </c>
      <c r="Q1075" s="210">
        <v>10</v>
      </c>
      <c r="R1075" s="205" t="s">
        <v>2623</v>
      </c>
      <c r="S1075" s="206"/>
      <c r="T1075" s="211"/>
      <c r="U1075" s="211"/>
      <c r="V1075" s="213"/>
      <c r="W1075" s="213"/>
    </row>
    <row r="1076" spans="1:23" ht="15" customHeight="1">
      <c r="C1076" s="3">
        <v>10</v>
      </c>
      <c r="D1076" s="15" t="s">
        <v>825</v>
      </c>
      <c r="E1076" s="312" t="s">
        <v>175</v>
      </c>
      <c r="G1076" s="26">
        <v>0</v>
      </c>
      <c r="H1076" s="26">
        <v>0</v>
      </c>
      <c r="I1076" s="26">
        <v>0</v>
      </c>
      <c r="J1076" s="26">
        <v>0</v>
      </c>
      <c r="K1076" s="26">
        <v>0</v>
      </c>
      <c r="L1076" s="26">
        <v>0</v>
      </c>
      <c r="M1076" s="26">
        <v>0</v>
      </c>
      <c r="N1076" s="26">
        <v>0</v>
      </c>
      <c r="O1076" s="285"/>
      <c r="P1076" s="202">
        <v>1060</v>
      </c>
      <c r="Q1076" s="210">
        <v>10</v>
      </c>
      <c r="R1076" s="205" t="s">
        <v>245</v>
      </c>
      <c r="S1076" s="206"/>
      <c r="T1076" s="211">
        <v>4000</v>
      </c>
      <c r="U1076" s="211">
        <v>521.17999999999995</v>
      </c>
      <c r="V1076" s="213">
        <v>521.17999999999995</v>
      </c>
      <c r="W1076" s="213">
        <v>0</v>
      </c>
    </row>
    <row r="1077" spans="1:23" ht="15" customHeight="1">
      <c r="C1077" s="3">
        <v>10</v>
      </c>
      <c r="D1077" s="15" t="s">
        <v>826</v>
      </c>
      <c r="E1077" s="312" t="s">
        <v>244</v>
      </c>
      <c r="G1077" s="26">
        <v>0</v>
      </c>
      <c r="H1077" s="26">
        <v>0</v>
      </c>
      <c r="I1077" s="26">
        <v>0</v>
      </c>
      <c r="J1077" s="26">
        <v>0</v>
      </c>
      <c r="K1077" s="26">
        <v>0</v>
      </c>
      <c r="L1077" s="26">
        <v>0</v>
      </c>
      <c r="M1077" s="26">
        <v>0</v>
      </c>
      <c r="N1077" s="26">
        <v>0</v>
      </c>
      <c r="O1077" s="285"/>
      <c r="P1077" s="202">
        <v>1061</v>
      </c>
      <c r="Q1077" s="210">
        <v>10</v>
      </c>
      <c r="R1077" s="205" t="s">
        <v>2623</v>
      </c>
      <c r="S1077" s="206"/>
      <c r="T1077" s="211"/>
      <c r="U1077" s="211"/>
      <c r="V1077" s="213"/>
      <c r="W1077" s="213"/>
    </row>
    <row r="1078" spans="1:23" ht="15" customHeight="1">
      <c r="G1078" s="26"/>
      <c r="H1078" s="26"/>
      <c r="I1078" s="26"/>
      <c r="J1078" s="26"/>
      <c r="K1078" s="26"/>
      <c r="L1078" s="26"/>
      <c r="M1078" s="26"/>
      <c r="N1078" s="26"/>
      <c r="P1078" s="202">
        <v>1062</v>
      </c>
      <c r="Q1078" s="210">
        <v>10</v>
      </c>
      <c r="R1078" s="205" t="s">
        <v>2616</v>
      </c>
      <c r="S1078" s="206"/>
      <c r="T1078" s="211">
        <v>140941</v>
      </c>
      <c r="U1078" s="211">
        <v>8831.59</v>
      </c>
      <c r="V1078" s="213">
        <v>12246.1</v>
      </c>
      <c r="W1078" s="213">
        <v>8.69</v>
      </c>
    </row>
    <row r="1079" spans="1:23" s="23" customFormat="1" ht="15" customHeight="1">
      <c r="A1079" s="2" t="s">
        <v>163</v>
      </c>
      <c r="B1079" s="2" t="s">
        <v>2317</v>
      </c>
      <c r="C1079" s="3"/>
      <c r="D1079" s="323" t="s">
        <v>2110</v>
      </c>
      <c r="E1079" s="323"/>
      <c r="F1079" s="324"/>
      <c r="G1079" s="325">
        <f>SUM(G1069:G1078)</f>
        <v>31</v>
      </c>
      <c r="H1079" s="325">
        <f t="shared" ref="H1079:N1079" si="91">SUM(H1069:H1078)</f>
        <v>6385</v>
      </c>
      <c r="I1079" s="325">
        <f t="shared" si="91"/>
        <v>3372</v>
      </c>
      <c r="J1079" s="325">
        <f t="shared" si="91"/>
        <v>6407</v>
      </c>
      <c r="K1079" s="325">
        <f t="shared" si="91"/>
        <v>7500</v>
      </c>
      <c r="L1079" s="325">
        <f t="shared" si="91"/>
        <v>4487</v>
      </c>
      <c r="M1079" s="325">
        <f t="shared" si="91"/>
        <v>7500</v>
      </c>
      <c r="N1079" s="325">
        <f t="shared" si="91"/>
        <v>7500</v>
      </c>
      <c r="O1079" s="291"/>
      <c r="P1079" s="202">
        <v>1063</v>
      </c>
      <c r="Q1079" s="210">
        <v>10</v>
      </c>
      <c r="R1079" s="205" t="s">
        <v>2621</v>
      </c>
      <c r="S1079" s="206"/>
      <c r="T1079" s="211"/>
      <c r="U1079" s="211"/>
      <c r="V1079" s="213"/>
      <c r="W1079" s="213"/>
    </row>
    <row r="1080" spans="1:23" s="46" customFormat="1" ht="15" customHeight="1">
      <c r="A1080" s="2"/>
      <c r="B1080" s="2"/>
      <c r="C1080" s="3"/>
      <c r="D1080" s="47"/>
      <c r="E1080" s="47"/>
      <c r="F1080" s="191"/>
      <c r="G1080" s="48"/>
      <c r="H1080" s="48"/>
      <c r="I1080" s="48"/>
      <c r="J1080" s="48"/>
      <c r="K1080" s="48"/>
      <c r="L1080" s="48"/>
      <c r="M1080" s="48"/>
      <c r="N1080" s="48"/>
      <c r="O1080" s="289"/>
      <c r="P1080" s="202">
        <v>1064</v>
      </c>
      <c r="Q1080" s="210">
        <v>10</v>
      </c>
      <c r="R1080" s="205" t="s">
        <v>2622</v>
      </c>
      <c r="S1080" s="206"/>
      <c r="T1080" s="211"/>
      <c r="U1080" s="211"/>
      <c r="V1080" s="213"/>
      <c r="W1080" s="213"/>
    </row>
    <row r="1081" spans="1:23" ht="15" customHeight="1">
      <c r="D1081" s="47" t="s">
        <v>2111</v>
      </c>
      <c r="G1081" s="26"/>
      <c r="H1081" s="26"/>
      <c r="I1081" s="26"/>
      <c r="J1081" s="26"/>
      <c r="K1081" s="26"/>
      <c r="L1081" s="26"/>
      <c r="M1081" s="26"/>
      <c r="N1081" s="26"/>
      <c r="P1081" s="202">
        <v>1065</v>
      </c>
      <c r="Q1081" s="210">
        <v>10</v>
      </c>
      <c r="R1081" s="205" t="s">
        <v>883</v>
      </c>
      <c r="S1081" s="206" t="s">
        <v>79</v>
      </c>
      <c r="T1081" s="211">
        <v>284880</v>
      </c>
      <c r="U1081" s="211">
        <v>20913.5</v>
      </c>
      <c r="V1081" s="213">
        <v>182837.17</v>
      </c>
      <c r="W1081" s="213">
        <v>64.180000000000007</v>
      </c>
    </row>
    <row r="1082" spans="1:23" ht="15" customHeight="1">
      <c r="G1082" s="26"/>
      <c r="H1082" s="26"/>
      <c r="I1082" s="26"/>
      <c r="J1082" s="26"/>
      <c r="K1082" s="26"/>
      <c r="L1082" s="26"/>
      <c r="M1082" s="26"/>
      <c r="N1082" s="26"/>
      <c r="P1082" s="202">
        <v>1066</v>
      </c>
      <c r="Q1082" s="210">
        <v>10</v>
      </c>
      <c r="R1082" s="205" t="s">
        <v>884</v>
      </c>
      <c r="S1082" s="206" t="s">
        <v>81</v>
      </c>
      <c r="T1082" s="211">
        <v>53272</v>
      </c>
      <c r="U1082" s="211">
        <v>4233.3900000000003</v>
      </c>
      <c r="V1082" s="213">
        <v>35290.28</v>
      </c>
      <c r="W1082" s="213">
        <v>66.25</v>
      </c>
    </row>
    <row r="1083" spans="1:23" ht="15" customHeight="1">
      <c r="C1083" s="3">
        <v>10</v>
      </c>
      <c r="D1083" s="15" t="s">
        <v>827</v>
      </c>
      <c r="E1083" s="312" t="s">
        <v>329</v>
      </c>
      <c r="G1083" s="26">
        <v>0</v>
      </c>
      <c r="H1083" s="26">
        <v>0</v>
      </c>
      <c r="I1083" s="26">
        <v>0</v>
      </c>
      <c r="J1083" s="26">
        <v>0</v>
      </c>
      <c r="K1083" s="26">
        <v>0</v>
      </c>
      <c r="L1083" s="26">
        <v>0</v>
      </c>
      <c r="M1083" s="26">
        <v>0</v>
      </c>
      <c r="N1083" s="26">
        <v>0</v>
      </c>
      <c r="O1083" s="285"/>
      <c r="P1083" s="202">
        <v>1067</v>
      </c>
      <c r="Q1083" s="210">
        <v>10</v>
      </c>
      <c r="R1083" s="205" t="s">
        <v>885</v>
      </c>
      <c r="S1083" s="206" t="s">
        <v>83</v>
      </c>
      <c r="T1083" s="211">
        <v>39</v>
      </c>
      <c r="U1083" s="211">
        <v>0</v>
      </c>
      <c r="V1083" s="213">
        <v>0</v>
      </c>
      <c r="W1083" s="213">
        <v>0</v>
      </c>
    </row>
    <row r="1084" spans="1:23" ht="15" customHeight="1">
      <c r="C1084" s="3">
        <v>10</v>
      </c>
      <c r="D1084" s="15" t="s">
        <v>828</v>
      </c>
      <c r="E1084" s="312" t="s">
        <v>165</v>
      </c>
      <c r="G1084" s="26">
        <v>0</v>
      </c>
      <c r="H1084" s="26">
        <v>0</v>
      </c>
      <c r="I1084" s="26">
        <v>0</v>
      </c>
      <c r="J1084" s="26">
        <v>0</v>
      </c>
      <c r="K1084" s="26">
        <v>0</v>
      </c>
      <c r="L1084" s="26">
        <v>558</v>
      </c>
      <c r="M1084" s="26">
        <v>0</v>
      </c>
      <c r="N1084" s="26">
        <v>0</v>
      </c>
      <c r="O1084" s="285"/>
      <c r="P1084" s="202">
        <v>1068</v>
      </c>
      <c r="Q1084" s="210">
        <v>10</v>
      </c>
      <c r="R1084" s="205" t="s">
        <v>886</v>
      </c>
      <c r="S1084" s="206" t="s">
        <v>85</v>
      </c>
      <c r="T1084" s="211">
        <v>1774</v>
      </c>
      <c r="U1084" s="211">
        <v>0</v>
      </c>
      <c r="V1084" s="213">
        <v>1841.44</v>
      </c>
      <c r="W1084" s="213">
        <v>103.8</v>
      </c>
    </row>
    <row r="1085" spans="1:23" ht="15" customHeight="1">
      <c r="C1085" s="3">
        <v>10</v>
      </c>
      <c r="D1085" s="15" t="s">
        <v>829</v>
      </c>
      <c r="E1085" s="312" t="s">
        <v>167</v>
      </c>
      <c r="G1085" s="26">
        <v>0</v>
      </c>
      <c r="H1085" s="26">
        <v>0</v>
      </c>
      <c r="I1085" s="26">
        <v>302</v>
      </c>
      <c r="J1085" s="26">
        <v>0</v>
      </c>
      <c r="K1085" s="26">
        <v>500</v>
      </c>
      <c r="L1085" s="26">
        <v>0</v>
      </c>
      <c r="M1085" s="26">
        <v>0</v>
      </c>
      <c r="N1085" s="26">
        <v>0</v>
      </c>
      <c r="O1085" s="285"/>
      <c r="P1085" s="202">
        <v>1069</v>
      </c>
      <c r="Q1085" s="210">
        <v>10</v>
      </c>
      <c r="R1085" s="205" t="s">
        <v>887</v>
      </c>
      <c r="S1085" s="206" t="s">
        <v>87</v>
      </c>
      <c r="T1085" s="211">
        <v>21937</v>
      </c>
      <c r="U1085" s="211">
        <v>2279.5300000000002</v>
      </c>
      <c r="V1085" s="213">
        <v>18473.16</v>
      </c>
      <c r="W1085" s="213">
        <v>84.21</v>
      </c>
    </row>
    <row r="1086" spans="1:23" ht="15" customHeight="1">
      <c r="C1086" s="3">
        <v>10</v>
      </c>
      <c r="D1086" s="15" t="s">
        <v>830</v>
      </c>
      <c r="E1086" s="312" t="s">
        <v>247</v>
      </c>
      <c r="G1086" s="26">
        <v>1995</v>
      </c>
      <c r="H1086" s="26">
        <v>0</v>
      </c>
      <c r="I1086" s="26">
        <v>0</v>
      </c>
      <c r="J1086" s="26">
        <v>0</v>
      </c>
      <c r="K1086" s="26">
        <v>500</v>
      </c>
      <c r="L1086" s="26">
        <v>0</v>
      </c>
      <c r="M1086" s="26">
        <v>0</v>
      </c>
      <c r="N1086" s="26">
        <v>500</v>
      </c>
      <c r="O1086" s="285"/>
      <c r="P1086" s="202">
        <v>1070</v>
      </c>
      <c r="Q1086" s="210">
        <v>10</v>
      </c>
      <c r="R1086" s="205" t="s">
        <v>888</v>
      </c>
      <c r="S1086" s="206" t="s">
        <v>89</v>
      </c>
      <c r="T1086" s="211">
        <v>45752</v>
      </c>
      <c r="U1086" s="211">
        <v>4945.16</v>
      </c>
      <c r="V1086" s="213">
        <v>40367.79</v>
      </c>
      <c r="W1086" s="213">
        <v>88.23</v>
      </c>
    </row>
    <row r="1087" spans="1:23" ht="15" customHeight="1">
      <c r="C1087" s="3">
        <v>10</v>
      </c>
      <c r="D1087" s="15" t="s">
        <v>831</v>
      </c>
      <c r="E1087" s="312" t="s">
        <v>244</v>
      </c>
      <c r="G1087" s="26">
        <v>0</v>
      </c>
      <c r="H1087" s="26">
        <v>0</v>
      </c>
      <c r="I1087" s="26">
        <v>0</v>
      </c>
      <c r="J1087" s="26">
        <v>0</v>
      </c>
      <c r="K1087" s="26">
        <v>0</v>
      </c>
      <c r="L1087" s="26">
        <v>0</v>
      </c>
      <c r="M1087" s="26">
        <v>0</v>
      </c>
      <c r="N1087" s="26">
        <v>0</v>
      </c>
      <c r="O1087" s="285"/>
      <c r="P1087" s="202">
        <v>1071</v>
      </c>
      <c r="Q1087" s="210">
        <v>10</v>
      </c>
      <c r="R1087" s="205" t="s">
        <v>889</v>
      </c>
      <c r="S1087" s="206" t="s">
        <v>91</v>
      </c>
      <c r="T1087" s="211">
        <v>65000</v>
      </c>
      <c r="U1087" s="211">
        <v>7749.04</v>
      </c>
      <c r="V1087" s="213">
        <v>47766.37</v>
      </c>
      <c r="W1087" s="213">
        <v>73.489999999999995</v>
      </c>
    </row>
    <row r="1088" spans="1:23" ht="15" customHeight="1">
      <c r="G1088" s="26"/>
      <c r="H1088" s="26"/>
      <c r="I1088" s="26"/>
      <c r="J1088" s="26"/>
      <c r="K1088" s="26"/>
      <c r="L1088" s="26"/>
      <c r="M1088" s="26"/>
      <c r="N1088" s="26"/>
      <c r="P1088" s="202">
        <v>1072</v>
      </c>
      <c r="Q1088" s="210">
        <v>10</v>
      </c>
      <c r="R1088" s="205" t="s">
        <v>890</v>
      </c>
      <c r="S1088" s="206" t="s">
        <v>93</v>
      </c>
      <c r="T1088" s="211">
        <v>2500</v>
      </c>
      <c r="U1088" s="211">
        <v>148.83000000000001</v>
      </c>
      <c r="V1088" s="213">
        <v>2447.5700000000002</v>
      </c>
      <c r="W1088" s="213">
        <v>97.9</v>
      </c>
    </row>
    <row r="1089" spans="1:23" s="24" customFormat="1" ht="15" customHeight="1">
      <c r="A1089" s="2" t="s">
        <v>245</v>
      </c>
      <c r="B1089" s="2" t="s">
        <v>2317</v>
      </c>
      <c r="C1089" s="3"/>
      <c r="D1089" s="323" t="s">
        <v>2112</v>
      </c>
      <c r="E1089" s="323"/>
      <c r="F1089" s="324"/>
      <c r="G1089" s="325">
        <f>SUM(G1081:G1088)</f>
        <v>1995</v>
      </c>
      <c r="H1089" s="325">
        <f t="shared" ref="H1089:N1089" si="92">SUM(H1081:H1088)</f>
        <v>0</v>
      </c>
      <c r="I1089" s="325">
        <f t="shared" si="92"/>
        <v>302</v>
      </c>
      <c r="J1089" s="325">
        <f t="shared" si="92"/>
        <v>0</v>
      </c>
      <c r="K1089" s="325">
        <f t="shared" si="92"/>
        <v>1000</v>
      </c>
      <c r="L1089" s="325">
        <f t="shared" si="92"/>
        <v>558</v>
      </c>
      <c r="M1089" s="325">
        <f t="shared" si="92"/>
        <v>0</v>
      </c>
      <c r="N1089" s="325">
        <f t="shared" si="92"/>
        <v>500</v>
      </c>
      <c r="O1089" s="292"/>
      <c r="P1089" s="202">
        <v>1073</v>
      </c>
      <c r="Q1089" s="210">
        <v>10</v>
      </c>
      <c r="R1089" s="205" t="s">
        <v>891</v>
      </c>
      <c r="S1089" s="206" t="s">
        <v>95</v>
      </c>
      <c r="T1089" s="211">
        <v>48900</v>
      </c>
      <c r="U1089" s="211">
        <v>1450</v>
      </c>
      <c r="V1089" s="213">
        <v>13550</v>
      </c>
      <c r="W1089" s="213">
        <v>27.71</v>
      </c>
    </row>
    <row r="1090" spans="1:23" ht="15" customHeight="1">
      <c r="G1090" s="26"/>
      <c r="H1090" s="26"/>
      <c r="I1090" s="26"/>
      <c r="J1090" s="26"/>
      <c r="K1090" s="26"/>
      <c r="L1090" s="26"/>
      <c r="M1090" s="26"/>
      <c r="N1090" s="26"/>
      <c r="P1090" s="202">
        <v>1074</v>
      </c>
      <c r="Q1090" s="210">
        <v>10</v>
      </c>
      <c r="R1090" s="205" t="s">
        <v>892</v>
      </c>
      <c r="S1090" s="206" t="s">
        <v>97</v>
      </c>
      <c r="T1090" s="211">
        <v>3640</v>
      </c>
      <c r="U1090" s="211">
        <v>333</v>
      </c>
      <c r="V1090" s="213">
        <v>2600.25</v>
      </c>
      <c r="W1090" s="213">
        <v>71.44</v>
      </c>
    </row>
    <row r="1091" spans="1:23" s="43" customFormat="1" ht="15" customHeight="1" thickBot="1">
      <c r="A1091" s="2"/>
      <c r="B1091" s="2" t="s">
        <v>2317</v>
      </c>
      <c r="C1091" s="3"/>
      <c r="D1091" s="68" t="s">
        <v>1989</v>
      </c>
      <c r="E1091" s="326"/>
      <c r="F1091" s="327"/>
      <c r="G1091" s="328">
        <f>+G1089+G1079+G1067+G1045+G1030</f>
        <v>129592</v>
      </c>
      <c r="H1091" s="328">
        <f t="shared" ref="H1091:N1091" si="93">+H1089+H1079+H1067+H1045+H1030</f>
        <v>142254</v>
      </c>
      <c r="I1091" s="328">
        <f t="shared" si="93"/>
        <v>123148</v>
      </c>
      <c r="J1091" s="328">
        <f t="shared" si="93"/>
        <v>209426</v>
      </c>
      <c r="K1091" s="328">
        <f t="shared" si="93"/>
        <v>154405</v>
      </c>
      <c r="L1091" s="328">
        <f t="shared" si="93"/>
        <v>113354</v>
      </c>
      <c r="M1091" s="328">
        <f t="shared" si="93"/>
        <v>170395.51</v>
      </c>
      <c r="N1091" s="328">
        <f t="shared" si="93"/>
        <v>211359.18599999999</v>
      </c>
      <c r="O1091" s="288"/>
      <c r="P1091" s="202">
        <v>1075</v>
      </c>
      <c r="Q1091" s="210">
        <v>10</v>
      </c>
      <c r="R1091" s="205" t="s">
        <v>893</v>
      </c>
      <c r="S1091" s="206" t="s">
        <v>99</v>
      </c>
      <c r="T1091" s="211">
        <v>471</v>
      </c>
      <c r="U1091" s="211">
        <v>0</v>
      </c>
      <c r="V1091" s="213">
        <v>457.92</v>
      </c>
      <c r="W1091" s="213">
        <v>97.22</v>
      </c>
    </row>
    <row r="1092" spans="1:23" s="45" customFormat="1" ht="15" customHeight="1" thickTop="1">
      <c r="A1092" s="2"/>
      <c r="B1092" s="2"/>
      <c r="C1092" s="3"/>
      <c r="D1092" s="47"/>
      <c r="E1092" s="15"/>
      <c r="F1092" s="105"/>
      <c r="G1092" s="26"/>
      <c r="H1092" s="26"/>
      <c r="I1092" s="26"/>
      <c r="J1092" s="26"/>
      <c r="K1092" s="26"/>
      <c r="L1092" s="26"/>
      <c r="M1092" s="26"/>
      <c r="N1092" s="26"/>
      <c r="O1092" s="275"/>
      <c r="P1092" s="202">
        <v>1076</v>
      </c>
      <c r="Q1092" s="210">
        <v>10</v>
      </c>
      <c r="R1092" s="205" t="s">
        <v>894</v>
      </c>
      <c r="S1092" s="206" t="s">
        <v>101</v>
      </c>
      <c r="T1092" s="211">
        <v>0</v>
      </c>
      <c r="U1092" s="211">
        <v>0</v>
      </c>
      <c r="V1092" s="213">
        <v>0</v>
      </c>
      <c r="W1092" s="213">
        <v>0</v>
      </c>
    </row>
    <row r="1093" spans="1:23" s="45" customFormat="1" ht="15" customHeight="1">
      <c r="A1093" s="2"/>
      <c r="B1093" s="2"/>
      <c r="C1093" s="3"/>
      <c r="D1093" s="47" t="s">
        <v>2114</v>
      </c>
      <c r="E1093" s="15"/>
      <c r="F1093" s="105"/>
      <c r="G1093" s="26"/>
      <c r="H1093" s="26"/>
      <c r="I1093" s="26"/>
      <c r="J1093" s="26"/>
      <c r="K1093" s="26"/>
      <c r="L1093" s="26"/>
      <c r="M1093" s="26"/>
      <c r="N1093" s="26"/>
      <c r="O1093" s="275"/>
      <c r="P1093" s="202">
        <v>1077</v>
      </c>
      <c r="Q1093" s="210">
        <v>10</v>
      </c>
      <c r="R1093" s="205" t="s">
        <v>895</v>
      </c>
      <c r="S1093" s="206" t="s">
        <v>103</v>
      </c>
      <c r="T1093" s="211">
        <v>0</v>
      </c>
      <c r="U1093" s="211">
        <v>0</v>
      </c>
      <c r="V1093" s="213">
        <v>0</v>
      </c>
      <c r="W1093" s="213">
        <v>0</v>
      </c>
    </row>
    <row r="1094" spans="1:23" s="45" customFormat="1" ht="15" customHeight="1">
      <c r="A1094" s="2"/>
      <c r="B1094" s="2"/>
      <c r="C1094" s="3"/>
      <c r="D1094" s="47"/>
      <c r="E1094" s="15"/>
      <c r="F1094" s="105"/>
      <c r="G1094" s="26"/>
      <c r="H1094" s="26"/>
      <c r="I1094" s="26"/>
      <c r="J1094" s="26"/>
      <c r="K1094" s="26"/>
      <c r="L1094" s="26"/>
      <c r="M1094" s="26"/>
      <c r="N1094" s="26"/>
      <c r="O1094" s="275"/>
      <c r="P1094" s="202">
        <v>1078</v>
      </c>
      <c r="Q1094" s="210">
        <v>10</v>
      </c>
      <c r="R1094" s="205" t="s">
        <v>2623</v>
      </c>
      <c r="S1094" s="206"/>
      <c r="T1094" s="211"/>
      <c r="U1094" s="211"/>
      <c r="V1094" s="213"/>
      <c r="W1094" s="213"/>
    </row>
    <row r="1095" spans="1:23" s="5" customFormat="1" ht="15" customHeight="1">
      <c r="A1095" s="2"/>
      <c r="B1095" s="2"/>
      <c r="C1095" s="3"/>
      <c r="D1095" s="47" t="s">
        <v>2115</v>
      </c>
      <c r="E1095" s="15"/>
      <c r="F1095" s="105"/>
      <c r="G1095" s="26"/>
      <c r="H1095" s="26"/>
      <c r="I1095" s="26"/>
      <c r="J1095" s="26"/>
      <c r="K1095" s="26"/>
      <c r="L1095" s="26"/>
      <c r="M1095" s="26"/>
      <c r="N1095" s="26"/>
      <c r="O1095" s="282"/>
      <c r="P1095" s="202">
        <v>1079</v>
      </c>
      <c r="Q1095" s="210">
        <v>10</v>
      </c>
      <c r="R1095" s="205" t="s">
        <v>2621</v>
      </c>
      <c r="S1095" s="206"/>
      <c r="T1095" s="211">
        <v>528165</v>
      </c>
      <c r="U1095" s="211">
        <v>42052.45</v>
      </c>
      <c r="V1095" s="213">
        <v>345631.95</v>
      </c>
      <c r="W1095" s="213">
        <v>0</v>
      </c>
    </row>
    <row r="1096" spans="1:23" ht="15" customHeight="1">
      <c r="G1096" s="26"/>
      <c r="H1096" s="26"/>
      <c r="I1096" s="26"/>
      <c r="J1096" s="26"/>
      <c r="K1096" s="26"/>
      <c r="L1096" s="26"/>
      <c r="M1096" s="26"/>
      <c r="N1096" s="26"/>
      <c r="P1096" s="202">
        <v>1080</v>
      </c>
      <c r="Q1096" s="210">
        <v>10</v>
      </c>
      <c r="R1096" s="205" t="s">
        <v>104</v>
      </c>
      <c r="S1096" s="206"/>
      <c r="T1096" s="211"/>
      <c r="U1096" s="211"/>
      <c r="V1096" s="213"/>
      <c r="W1096" s="213"/>
    </row>
    <row r="1097" spans="1:23" ht="15" customHeight="1">
      <c r="C1097" s="3">
        <v>10</v>
      </c>
      <c r="D1097" s="15" t="s">
        <v>832</v>
      </c>
      <c r="E1097" s="312" t="s">
        <v>79</v>
      </c>
      <c r="G1097" s="26">
        <v>0</v>
      </c>
      <c r="H1097" s="26">
        <v>0</v>
      </c>
      <c r="I1097" s="26">
        <v>0</v>
      </c>
      <c r="J1097" s="26">
        <v>0</v>
      </c>
      <c r="K1097" s="26">
        <v>0</v>
      </c>
      <c r="L1097" s="26">
        <v>0</v>
      </c>
      <c r="M1097" s="26">
        <v>0</v>
      </c>
      <c r="N1097" s="26">
        <v>0</v>
      </c>
      <c r="P1097" s="202">
        <v>1081</v>
      </c>
      <c r="Q1097" s="210">
        <v>10</v>
      </c>
      <c r="R1097" s="205" t="s">
        <v>2624</v>
      </c>
      <c r="S1097" s="206"/>
      <c r="T1097" s="211"/>
      <c r="U1097" s="211"/>
      <c r="V1097" s="213"/>
      <c r="W1097" s="213"/>
    </row>
    <row r="1098" spans="1:23" ht="15" customHeight="1">
      <c r="C1098" s="3">
        <v>10</v>
      </c>
      <c r="D1098" s="15" t="s">
        <v>833</v>
      </c>
      <c r="E1098" s="312" t="s">
        <v>81</v>
      </c>
      <c r="G1098" s="26">
        <v>0</v>
      </c>
      <c r="H1098" s="26">
        <v>0</v>
      </c>
      <c r="I1098" s="26">
        <v>0</v>
      </c>
      <c r="J1098" s="26">
        <v>0</v>
      </c>
      <c r="K1098" s="26">
        <v>0</v>
      </c>
      <c r="L1098" s="26">
        <v>0</v>
      </c>
      <c r="M1098" s="26">
        <v>0</v>
      </c>
      <c r="N1098" s="26">
        <v>0</v>
      </c>
      <c r="P1098" s="202">
        <v>1082</v>
      </c>
      <c r="Q1098" s="210">
        <v>10</v>
      </c>
      <c r="R1098" s="205" t="s">
        <v>896</v>
      </c>
      <c r="S1098" s="206" t="s">
        <v>115</v>
      </c>
      <c r="T1098" s="211">
        <v>1100</v>
      </c>
      <c r="U1098" s="211">
        <v>55.95</v>
      </c>
      <c r="V1098" s="213">
        <v>454.58</v>
      </c>
      <c r="W1098" s="213">
        <v>41.33</v>
      </c>
    </row>
    <row r="1099" spans="1:23" ht="15" customHeight="1">
      <c r="C1099" s="3">
        <v>10</v>
      </c>
      <c r="D1099" s="15" t="s">
        <v>834</v>
      </c>
      <c r="E1099" s="312" t="s">
        <v>83</v>
      </c>
      <c r="G1099" s="26">
        <v>0</v>
      </c>
      <c r="H1099" s="26">
        <v>0</v>
      </c>
      <c r="I1099" s="26">
        <v>0</v>
      </c>
      <c r="J1099" s="26">
        <v>0</v>
      </c>
      <c r="K1099" s="26">
        <v>0</v>
      </c>
      <c r="L1099" s="26">
        <v>0</v>
      </c>
      <c r="M1099" s="26">
        <v>0</v>
      </c>
      <c r="N1099" s="26">
        <v>0</v>
      </c>
      <c r="P1099" s="202">
        <v>1083</v>
      </c>
      <c r="Q1099" s="210">
        <v>10</v>
      </c>
      <c r="R1099" s="205" t="s">
        <v>897</v>
      </c>
      <c r="S1099" s="206" t="s">
        <v>117</v>
      </c>
      <c r="T1099" s="211">
        <v>0</v>
      </c>
      <c r="U1099" s="211">
        <v>0</v>
      </c>
      <c r="V1099" s="213">
        <v>20.98</v>
      </c>
      <c r="W1099" s="213">
        <v>0</v>
      </c>
    </row>
    <row r="1100" spans="1:23" ht="15" customHeight="1">
      <c r="C1100" s="3">
        <v>10</v>
      </c>
      <c r="D1100" s="15" t="s">
        <v>835</v>
      </c>
      <c r="E1100" s="312" t="s">
        <v>85</v>
      </c>
      <c r="G1100" s="26">
        <v>0</v>
      </c>
      <c r="H1100" s="26">
        <v>0</v>
      </c>
      <c r="I1100" s="26">
        <v>0</v>
      </c>
      <c r="J1100" s="26">
        <v>0</v>
      </c>
      <c r="K1100" s="26">
        <v>0</v>
      </c>
      <c r="L1100" s="26">
        <v>3</v>
      </c>
      <c r="M1100" s="26">
        <v>3.5</v>
      </c>
      <c r="N1100" s="26">
        <v>0</v>
      </c>
      <c r="P1100" s="202">
        <v>1084</v>
      </c>
      <c r="Q1100" s="210">
        <v>10</v>
      </c>
      <c r="R1100" s="205" t="s">
        <v>898</v>
      </c>
      <c r="S1100" s="206" t="s">
        <v>119</v>
      </c>
      <c r="T1100" s="211">
        <v>80</v>
      </c>
      <c r="U1100" s="211">
        <v>0</v>
      </c>
      <c r="V1100" s="213">
        <v>86.3</v>
      </c>
      <c r="W1100" s="213">
        <v>107.88</v>
      </c>
    </row>
    <row r="1101" spans="1:23" ht="15" customHeight="1">
      <c r="C1101" s="3">
        <v>10</v>
      </c>
      <c r="D1101" s="15" t="s">
        <v>836</v>
      </c>
      <c r="E1101" s="312" t="s">
        <v>87</v>
      </c>
      <c r="G1101" s="26">
        <v>0</v>
      </c>
      <c r="H1101" s="26">
        <v>0</v>
      </c>
      <c r="I1101" s="26">
        <v>0</v>
      </c>
      <c r="J1101" s="26">
        <v>0</v>
      </c>
      <c r="K1101" s="26">
        <v>0</v>
      </c>
      <c r="L1101" s="26">
        <v>20</v>
      </c>
      <c r="M1101" s="26">
        <f>1388*3</f>
        <v>4164</v>
      </c>
      <c r="N1101" s="26">
        <v>4164</v>
      </c>
      <c r="P1101" s="202">
        <v>1085</v>
      </c>
      <c r="Q1101" s="210">
        <v>10</v>
      </c>
      <c r="R1101" s="205" t="s">
        <v>899</v>
      </c>
      <c r="S1101" s="206" t="s">
        <v>121</v>
      </c>
      <c r="T1101" s="211">
        <v>100</v>
      </c>
      <c r="U1101" s="211">
        <v>0</v>
      </c>
      <c r="V1101" s="213">
        <v>0</v>
      </c>
      <c r="W1101" s="213">
        <v>0</v>
      </c>
    </row>
    <row r="1102" spans="1:23" ht="15" customHeight="1">
      <c r="C1102" s="3">
        <v>10</v>
      </c>
      <c r="D1102" s="15" t="s">
        <v>837</v>
      </c>
      <c r="E1102" s="312" t="s">
        <v>91</v>
      </c>
      <c r="G1102" s="26">
        <v>0</v>
      </c>
      <c r="H1102" s="26">
        <v>0</v>
      </c>
      <c r="I1102" s="26">
        <v>0</v>
      </c>
      <c r="J1102" s="26">
        <v>0</v>
      </c>
      <c r="K1102" s="26">
        <v>0</v>
      </c>
      <c r="L1102" s="26">
        <v>0</v>
      </c>
      <c r="M1102" s="26">
        <v>0</v>
      </c>
      <c r="N1102" s="26">
        <v>0</v>
      </c>
      <c r="P1102" s="202">
        <v>1086</v>
      </c>
      <c r="Q1102" s="210">
        <v>10</v>
      </c>
      <c r="R1102" s="205" t="s">
        <v>900</v>
      </c>
      <c r="S1102" s="206" t="s">
        <v>123</v>
      </c>
      <c r="T1102" s="211">
        <v>0</v>
      </c>
      <c r="U1102" s="211">
        <v>0</v>
      </c>
      <c r="V1102" s="213">
        <v>0</v>
      </c>
      <c r="W1102" s="213">
        <v>0</v>
      </c>
    </row>
    <row r="1103" spans="1:23" ht="15" customHeight="1">
      <c r="C1103" s="3">
        <v>10</v>
      </c>
      <c r="D1103" s="15" t="s">
        <v>838</v>
      </c>
      <c r="E1103" s="312" t="s">
        <v>93</v>
      </c>
      <c r="G1103" s="26">
        <v>0</v>
      </c>
      <c r="H1103" s="26">
        <v>0</v>
      </c>
      <c r="I1103" s="26">
        <v>0</v>
      </c>
      <c r="J1103" s="26">
        <v>0</v>
      </c>
      <c r="K1103" s="26">
        <v>61824</v>
      </c>
      <c r="L1103" s="26">
        <v>264</v>
      </c>
      <c r="M1103" s="26">
        <f>17774*3</f>
        <v>53322</v>
      </c>
      <c r="N1103" s="26">
        <v>53322</v>
      </c>
      <c r="P1103" s="202">
        <v>1087</v>
      </c>
      <c r="Q1103" s="210">
        <v>10</v>
      </c>
      <c r="R1103" s="205" t="s">
        <v>901</v>
      </c>
      <c r="S1103" s="206" t="s">
        <v>125</v>
      </c>
      <c r="T1103" s="211">
        <v>0</v>
      </c>
      <c r="U1103" s="211">
        <v>0</v>
      </c>
      <c r="V1103" s="213">
        <v>0</v>
      </c>
      <c r="W1103" s="213">
        <v>0</v>
      </c>
    </row>
    <row r="1104" spans="1:23" ht="15" customHeight="1">
      <c r="C1104" s="3">
        <v>10</v>
      </c>
      <c r="D1104" s="15" t="s">
        <v>839</v>
      </c>
      <c r="E1104" s="312" t="s">
        <v>101</v>
      </c>
      <c r="G1104" s="26">
        <v>0</v>
      </c>
      <c r="H1104" s="26">
        <v>0</v>
      </c>
      <c r="I1104" s="26">
        <v>0</v>
      </c>
      <c r="J1104" s="26">
        <v>0</v>
      </c>
      <c r="K1104" s="26">
        <v>0</v>
      </c>
      <c r="L1104" s="26">
        <v>0</v>
      </c>
      <c r="M1104" s="26">
        <v>0</v>
      </c>
      <c r="N1104" s="26">
        <v>0</v>
      </c>
      <c r="P1104" s="202">
        <v>1088</v>
      </c>
      <c r="Q1104" s="210">
        <v>10</v>
      </c>
      <c r="R1104" s="205" t="s">
        <v>902</v>
      </c>
      <c r="S1104" s="206" t="s">
        <v>106</v>
      </c>
      <c r="T1104" s="211">
        <v>20500</v>
      </c>
      <c r="U1104" s="211">
        <v>4062.93</v>
      </c>
      <c r="V1104" s="213">
        <v>20747.39</v>
      </c>
      <c r="W1104" s="213">
        <v>101.21</v>
      </c>
    </row>
    <row r="1105" spans="1:23" ht="15" customHeight="1">
      <c r="C1105" s="3">
        <v>10</v>
      </c>
      <c r="D1105" s="15" t="s">
        <v>840</v>
      </c>
      <c r="E1105" s="312" t="s">
        <v>103</v>
      </c>
      <c r="G1105" s="26">
        <v>0</v>
      </c>
      <c r="H1105" s="26">
        <v>0</v>
      </c>
      <c r="I1105" s="26">
        <v>0</v>
      </c>
      <c r="J1105" s="26">
        <v>0</v>
      </c>
      <c r="K1105" s="26">
        <v>0</v>
      </c>
      <c r="L1105" s="26">
        <v>0</v>
      </c>
      <c r="M1105" s="26">
        <v>0</v>
      </c>
      <c r="N1105" s="26">
        <v>0</v>
      </c>
      <c r="P1105" s="202">
        <v>1089</v>
      </c>
      <c r="Q1105" s="210">
        <v>10</v>
      </c>
      <c r="R1105" s="205" t="s">
        <v>903</v>
      </c>
      <c r="S1105" s="206" t="s">
        <v>197</v>
      </c>
      <c r="T1105" s="211">
        <v>0</v>
      </c>
      <c r="U1105" s="211">
        <v>0</v>
      </c>
      <c r="V1105" s="213">
        <v>0</v>
      </c>
      <c r="W1105" s="213">
        <v>0</v>
      </c>
    </row>
    <row r="1106" spans="1:23" ht="15" customHeight="1">
      <c r="G1106" s="26"/>
      <c r="H1106" s="26"/>
      <c r="I1106" s="26"/>
      <c r="J1106" s="26"/>
      <c r="K1106" s="26"/>
      <c r="L1106" s="26"/>
      <c r="M1106" s="26"/>
      <c r="N1106" s="26"/>
      <c r="P1106" s="202">
        <v>1090</v>
      </c>
      <c r="Q1106" s="210">
        <v>10</v>
      </c>
      <c r="R1106" s="205" t="s">
        <v>904</v>
      </c>
      <c r="S1106" s="206" t="s">
        <v>128</v>
      </c>
      <c r="T1106" s="211">
        <v>100</v>
      </c>
      <c r="U1106" s="211">
        <v>0</v>
      </c>
      <c r="V1106" s="213">
        <v>0</v>
      </c>
      <c r="W1106" s="213">
        <v>0</v>
      </c>
    </row>
    <row r="1107" spans="1:23" s="72" customFormat="1" ht="15" customHeight="1">
      <c r="A1107" s="5" t="s">
        <v>2410</v>
      </c>
      <c r="B1107" s="5" t="s">
        <v>2317</v>
      </c>
      <c r="C1107" s="3"/>
      <c r="D1107" s="323" t="s">
        <v>2116</v>
      </c>
      <c r="E1107" s="323"/>
      <c r="F1107" s="324"/>
      <c r="G1107" s="325">
        <f>SUM(G1095:G1106)</f>
        <v>0</v>
      </c>
      <c r="H1107" s="325">
        <f t="shared" ref="H1107:N1107" si="94">SUM(H1095:H1106)</f>
        <v>0</v>
      </c>
      <c r="I1107" s="325">
        <f t="shared" si="94"/>
        <v>0</v>
      </c>
      <c r="J1107" s="325">
        <f t="shared" si="94"/>
        <v>0</v>
      </c>
      <c r="K1107" s="325">
        <f t="shared" si="94"/>
        <v>61824</v>
      </c>
      <c r="L1107" s="325">
        <f t="shared" si="94"/>
        <v>287</v>
      </c>
      <c r="M1107" s="325">
        <f t="shared" si="94"/>
        <v>57489.5</v>
      </c>
      <c r="N1107" s="325">
        <f t="shared" si="94"/>
        <v>57486</v>
      </c>
      <c r="O1107" s="286"/>
      <c r="P1107" s="202">
        <v>1091</v>
      </c>
      <c r="Q1107" s="210">
        <v>10</v>
      </c>
      <c r="R1107" s="205" t="s">
        <v>905</v>
      </c>
      <c r="S1107" s="206" t="s">
        <v>200</v>
      </c>
      <c r="T1107" s="211">
        <v>7000</v>
      </c>
      <c r="U1107" s="211">
        <v>1688.2</v>
      </c>
      <c r="V1107" s="213">
        <v>5578.51</v>
      </c>
      <c r="W1107" s="213">
        <v>79.69</v>
      </c>
    </row>
    <row r="1108" spans="1:23" s="46" customFormat="1" ht="15" customHeight="1">
      <c r="A1108" s="2"/>
      <c r="B1108" s="2"/>
      <c r="C1108" s="3"/>
      <c r="D1108" s="47"/>
      <c r="E1108" s="47"/>
      <c r="F1108" s="191"/>
      <c r="G1108" s="48"/>
      <c r="H1108" s="48"/>
      <c r="I1108" s="48"/>
      <c r="J1108" s="48"/>
      <c r="K1108" s="48"/>
      <c r="L1108" s="48"/>
      <c r="M1108" s="48"/>
      <c r="N1108" s="48"/>
      <c r="O1108" s="289"/>
      <c r="P1108" s="202">
        <v>1092</v>
      </c>
      <c r="Q1108" s="210">
        <v>10</v>
      </c>
      <c r="R1108" s="205" t="s">
        <v>906</v>
      </c>
      <c r="S1108" s="206" t="s">
        <v>202</v>
      </c>
      <c r="T1108" s="211">
        <v>0</v>
      </c>
      <c r="U1108" s="211">
        <v>0</v>
      </c>
      <c r="V1108" s="213">
        <v>0</v>
      </c>
      <c r="W1108" s="213">
        <v>0</v>
      </c>
    </row>
    <row r="1109" spans="1:23" ht="15" customHeight="1">
      <c r="D1109" s="47" t="s">
        <v>2117</v>
      </c>
      <c r="G1109" s="26"/>
      <c r="H1109" s="26"/>
      <c r="I1109" s="26"/>
      <c r="J1109" s="26"/>
      <c r="K1109" s="26"/>
      <c r="L1109" s="26"/>
      <c r="M1109" s="26"/>
      <c r="N1109" s="26"/>
      <c r="P1109" s="202">
        <v>1093</v>
      </c>
      <c r="Q1109" s="210">
        <v>10</v>
      </c>
      <c r="R1109" s="205" t="s">
        <v>907</v>
      </c>
      <c r="S1109" s="206" t="s">
        <v>130</v>
      </c>
      <c r="T1109" s="211">
        <v>500</v>
      </c>
      <c r="U1109" s="211">
        <v>60.12</v>
      </c>
      <c r="V1109" s="213">
        <v>905.86</v>
      </c>
      <c r="W1109" s="213">
        <v>181.17</v>
      </c>
    </row>
    <row r="1110" spans="1:23" ht="15" customHeight="1">
      <c r="G1110" s="26"/>
      <c r="H1110" s="26"/>
      <c r="I1110" s="26"/>
      <c r="J1110" s="26"/>
      <c r="K1110" s="26"/>
      <c r="L1110" s="26"/>
      <c r="M1110" s="26"/>
      <c r="N1110" s="26"/>
      <c r="P1110" s="202">
        <v>1094</v>
      </c>
      <c r="Q1110" s="210">
        <v>10</v>
      </c>
      <c r="R1110" s="205" t="s">
        <v>908</v>
      </c>
      <c r="S1110" s="206" t="s">
        <v>132</v>
      </c>
      <c r="T1110" s="211">
        <v>2000</v>
      </c>
      <c r="U1110" s="211">
        <v>0</v>
      </c>
      <c r="V1110" s="213">
        <v>658.23</v>
      </c>
      <c r="W1110" s="213">
        <v>32.909999999999997</v>
      </c>
    </row>
    <row r="1111" spans="1:23" ht="15" customHeight="1">
      <c r="C1111" s="3">
        <v>10</v>
      </c>
      <c r="D1111" s="15" t="s">
        <v>841</v>
      </c>
      <c r="E1111" s="312" t="s">
        <v>115</v>
      </c>
      <c r="G1111" s="26">
        <v>0</v>
      </c>
      <c r="H1111" s="26">
        <v>0</v>
      </c>
      <c r="I1111" s="26">
        <v>0</v>
      </c>
      <c r="J1111" s="26">
        <v>0</v>
      </c>
      <c r="K1111" s="26">
        <v>250</v>
      </c>
      <c r="L1111" s="26">
        <v>559</v>
      </c>
      <c r="M1111" s="26">
        <v>959</v>
      </c>
      <c r="N1111" s="26">
        <v>250</v>
      </c>
      <c r="O1111" s="285"/>
      <c r="P1111" s="202">
        <v>1095</v>
      </c>
      <c r="Q1111" s="210">
        <v>10</v>
      </c>
      <c r="R1111" s="205" t="s">
        <v>909</v>
      </c>
      <c r="S1111" s="206" t="s">
        <v>206</v>
      </c>
      <c r="T1111" s="211">
        <v>300</v>
      </c>
      <c r="U1111" s="211">
        <v>45.64</v>
      </c>
      <c r="V1111" s="213">
        <v>74</v>
      </c>
      <c r="W1111" s="213">
        <v>24.67</v>
      </c>
    </row>
    <row r="1112" spans="1:23" ht="15" customHeight="1">
      <c r="C1112" s="3">
        <v>10</v>
      </c>
      <c r="D1112" s="15" t="s">
        <v>842</v>
      </c>
      <c r="E1112" s="312" t="s">
        <v>117</v>
      </c>
      <c r="G1112" s="26">
        <v>0</v>
      </c>
      <c r="H1112" s="26">
        <v>0</v>
      </c>
      <c r="I1112" s="26">
        <v>0</v>
      </c>
      <c r="J1112" s="26">
        <v>0</v>
      </c>
      <c r="K1112" s="26">
        <v>0</v>
      </c>
      <c r="L1112" s="26">
        <v>0</v>
      </c>
      <c r="M1112" s="26">
        <v>0</v>
      </c>
      <c r="N1112" s="26">
        <v>0</v>
      </c>
      <c r="O1112" s="285"/>
      <c r="P1112" s="202">
        <v>1096</v>
      </c>
      <c r="Q1112" s="210">
        <v>10</v>
      </c>
      <c r="R1112" s="205" t="s">
        <v>910</v>
      </c>
      <c r="S1112" s="206" t="s">
        <v>208</v>
      </c>
      <c r="T1112" s="211">
        <v>18000</v>
      </c>
      <c r="U1112" s="211">
        <v>2038.49</v>
      </c>
      <c r="V1112" s="213">
        <v>12523.08</v>
      </c>
      <c r="W1112" s="213">
        <v>69.569999999999993</v>
      </c>
    </row>
    <row r="1113" spans="1:23" ht="15" customHeight="1">
      <c r="C1113" s="3">
        <v>10</v>
      </c>
      <c r="D1113" s="15" t="s">
        <v>843</v>
      </c>
      <c r="E1113" s="312" t="s">
        <v>119</v>
      </c>
      <c r="G1113" s="26">
        <v>0</v>
      </c>
      <c r="H1113" s="26">
        <v>14</v>
      </c>
      <c r="I1113" s="26">
        <v>0</v>
      </c>
      <c r="J1113" s="26">
        <v>0</v>
      </c>
      <c r="K1113" s="26">
        <v>0</v>
      </c>
      <c r="L1113" s="26">
        <v>0</v>
      </c>
      <c r="M1113" s="26">
        <v>0</v>
      </c>
      <c r="N1113" s="26">
        <v>0</v>
      </c>
      <c r="O1113" s="285"/>
      <c r="P1113" s="202">
        <v>1097</v>
      </c>
      <c r="Q1113" s="210">
        <v>10</v>
      </c>
      <c r="R1113" s="205" t="s">
        <v>911</v>
      </c>
      <c r="S1113" s="206" t="s">
        <v>912</v>
      </c>
      <c r="T1113" s="211">
        <v>0</v>
      </c>
      <c r="U1113" s="211">
        <v>0</v>
      </c>
      <c r="V1113" s="213">
        <v>0</v>
      </c>
      <c r="W1113" s="213">
        <v>0</v>
      </c>
    </row>
    <row r="1114" spans="1:23" ht="15" customHeight="1">
      <c r="C1114" s="3">
        <v>10</v>
      </c>
      <c r="D1114" s="15" t="s">
        <v>844</v>
      </c>
      <c r="E1114" s="312" t="s">
        <v>121</v>
      </c>
      <c r="G1114" s="26">
        <v>0</v>
      </c>
      <c r="H1114" s="26">
        <v>0</v>
      </c>
      <c r="I1114" s="26">
        <v>0</v>
      </c>
      <c r="J1114" s="26">
        <v>0</v>
      </c>
      <c r="K1114" s="26">
        <v>0</v>
      </c>
      <c r="L1114" s="26">
        <v>0</v>
      </c>
      <c r="M1114" s="26">
        <v>0</v>
      </c>
      <c r="N1114" s="26">
        <v>0</v>
      </c>
      <c r="O1114" s="285"/>
      <c r="P1114" s="202">
        <v>1098</v>
      </c>
      <c r="Q1114" s="210">
        <v>10</v>
      </c>
      <c r="R1114" s="205" t="s">
        <v>913</v>
      </c>
      <c r="S1114" s="206" t="s">
        <v>210</v>
      </c>
      <c r="T1114" s="211">
        <v>750</v>
      </c>
      <c r="U1114" s="211">
        <v>44</v>
      </c>
      <c r="V1114" s="213">
        <v>962.72</v>
      </c>
      <c r="W1114" s="213">
        <v>128.36000000000001</v>
      </c>
    </row>
    <row r="1115" spans="1:23" ht="15" customHeight="1">
      <c r="C1115" s="3">
        <v>10</v>
      </c>
      <c r="D1115" s="15" t="s">
        <v>845</v>
      </c>
      <c r="E1115" s="312" t="s">
        <v>123</v>
      </c>
      <c r="G1115" s="26">
        <v>0</v>
      </c>
      <c r="H1115" s="26">
        <v>0</v>
      </c>
      <c r="I1115" s="26">
        <v>0</v>
      </c>
      <c r="J1115" s="26">
        <v>0</v>
      </c>
      <c r="K1115" s="26">
        <v>0</v>
      </c>
      <c r="L1115" s="26">
        <v>0</v>
      </c>
      <c r="M1115" s="26">
        <v>0</v>
      </c>
      <c r="N1115" s="26">
        <v>0</v>
      </c>
      <c r="O1115" s="285"/>
      <c r="P1115" s="202">
        <v>1099</v>
      </c>
      <c r="Q1115" s="210">
        <v>10</v>
      </c>
      <c r="R1115" s="205" t="s">
        <v>914</v>
      </c>
      <c r="S1115" s="206" t="s">
        <v>134</v>
      </c>
      <c r="T1115" s="211">
        <v>500</v>
      </c>
      <c r="U1115" s="211">
        <v>0</v>
      </c>
      <c r="V1115" s="213">
        <v>0</v>
      </c>
      <c r="W1115" s="213">
        <v>0</v>
      </c>
    </row>
    <row r="1116" spans="1:23" ht="15" customHeight="1">
      <c r="C1116" s="3">
        <v>10</v>
      </c>
      <c r="D1116" s="15" t="s">
        <v>846</v>
      </c>
      <c r="E1116" s="312" t="s">
        <v>125</v>
      </c>
      <c r="G1116" s="26">
        <v>126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85"/>
      <c r="P1116" s="202">
        <v>1100</v>
      </c>
      <c r="Q1116" s="210">
        <v>10</v>
      </c>
      <c r="R1116" s="205" t="s">
        <v>915</v>
      </c>
      <c r="S1116" s="206" t="s">
        <v>213</v>
      </c>
      <c r="T1116" s="211">
        <v>0</v>
      </c>
      <c r="U1116" s="211">
        <v>0</v>
      </c>
      <c r="V1116" s="213">
        <v>0</v>
      </c>
      <c r="W1116" s="213">
        <v>0</v>
      </c>
    </row>
    <row r="1117" spans="1:23" ht="15" customHeight="1">
      <c r="C1117" s="3">
        <v>10</v>
      </c>
      <c r="D1117" s="15" t="s">
        <v>847</v>
      </c>
      <c r="E1117" s="312" t="s">
        <v>106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85"/>
      <c r="P1117" s="202">
        <v>1101</v>
      </c>
      <c r="Q1117" s="210">
        <v>10</v>
      </c>
      <c r="R1117" s="205" t="s">
        <v>2623</v>
      </c>
      <c r="S1117" s="206"/>
      <c r="T1117" s="211"/>
      <c r="U1117" s="211"/>
      <c r="V1117" s="213"/>
      <c r="W1117" s="213"/>
    </row>
    <row r="1118" spans="1:23" ht="15" customHeight="1">
      <c r="C1118" s="3">
        <v>10</v>
      </c>
      <c r="D1118" s="15" t="s">
        <v>848</v>
      </c>
      <c r="E1118" s="312" t="s">
        <v>128</v>
      </c>
      <c r="G1118" s="26">
        <v>0</v>
      </c>
      <c r="H1118" s="26">
        <v>0</v>
      </c>
      <c r="I1118" s="26">
        <v>0</v>
      </c>
      <c r="J1118" s="26">
        <v>0</v>
      </c>
      <c r="K1118" s="26">
        <v>0</v>
      </c>
      <c r="L1118" s="26">
        <v>0</v>
      </c>
      <c r="M1118" s="26">
        <v>6000</v>
      </c>
      <c r="N1118" s="26">
        <v>6000</v>
      </c>
      <c r="O1118" s="285" t="s">
        <v>2696</v>
      </c>
      <c r="P1118" s="202">
        <v>1102</v>
      </c>
      <c r="Q1118" s="210">
        <v>10</v>
      </c>
      <c r="R1118" s="205" t="s">
        <v>104</v>
      </c>
      <c r="S1118" s="206"/>
      <c r="T1118" s="211">
        <v>50930</v>
      </c>
      <c r="U1118" s="211">
        <v>7995.33</v>
      </c>
      <c r="V1118" s="213">
        <v>42011.65</v>
      </c>
      <c r="W1118" s="213">
        <v>0</v>
      </c>
    </row>
    <row r="1119" spans="1:23" ht="15" customHeight="1">
      <c r="C1119" s="3">
        <v>10</v>
      </c>
      <c r="D1119" s="15" t="s">
        <v>849</v>
      </c>
      <c r="E1119" s="312" t="s">
        <v>200</v>
      </c>
      <c r="G1119" s="26">
        <v>0</v>
      </c>
      <c r="H1119" s="26">
        <v>0</v>
      </c>
      <c r="I1119" s="26">
        <v>0</v>
      </c>
      <c r="J1119" s="26">
        <v>0</v>
      </c>
      <c r="K1119" s="26">
        <v>0</v>
      </c>
      <c r="L1119" s="26">
        <v>0</v>
      </c>
      <c r="M1119" s="26">
        <v>2100</v>
      </c>
      <c r="N1119" s="26">
        <v>500</v>
      </c>
      <c r="O1119" s="285" t="s">
        <v>2697</v>
      </c>
      <c r="P1119" s="202">
        <v>1103</v>
      </c>
      <c r="Q1119" s="210">
        <v>10</v>
      </c>
      <c r="R1119" s="205" t="s">
        <v>135</v>
      </c>
      <c r="S1119" s="206"/>
      <c r="T1119" s="211"/>
      <c r="U1119" s="211"/>
      <c r="V1119" s="213"/>
      <c r="W1119" s="213"/>
    </row>
    <row r="1120" spans="1:23" ht="15" customHeight="1">
      <c r="C1120" s="3">
        <v>10</v>
      </c>
      <c r="D1120" s="15" t="s">
        <v>850</v>
      </c>
      <c r="E1120" s="312" t="s">
        <v>202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85"/>
      <c r="P1120" s="202">
        <v>1104</v>
      </c>
      <c r="Q1120" s="210">
        <v>10</v>
      </c>
      <c r="R1120" s="205" t="s">
        <v>2626</v>
      </c>
      <c r="S1120" s="206"/>
      <c r="T1120" s="211"/>
      <c r="U1120" s="211"/>
      <c r="V1120" s="213"/>
      <c r="W1120" s="213"/>
    </row>
    <row r="1121" spans="1:23" ht="15" customHeight="1">
      <c r="C1121" s="3">
        <v>10</v>
      </c>
      <c r="D1121" s="15" t="s">
        <v>851</v>
      </c>
      <c r="E1121" s="312" t="s">
        <v>132</v>
      </c>
      <c r="G1121" s="26">
        <v>0</v>
      </c>
      <c r="H1121" s="26">
        <v>6</v>
      </c>
      <c r="I1121" s="26">
        <v>0</v>
      </c>
      <c r="J1121" s="26">
        <v>3257</v>
      </c>
      <c r="K1121" s="26">
        <v>500</v>
      </c>
      <c r="L1121" s="26">
        <v>100</v>
      </c>
      <c r="M1121" s="26">
        <v>1000</v>
      </c>
      <c r="N1121" s="26">
        <v>500</v>
      </c>
      <c r="O1121" s="285"/>
      <c r="P1121" s="202">
        <v>1105</v>
      </c>
      <c r="Q1121" s="210">
        <v>10</v>
      </c>
      <c r="R1121" s="205" t="s">
        <v>916</v>
      </c>
      <c r="S1121" s="206" t="s">
        <v>137</v>
      </c>
      <c r="T1121" s="211">
        <v>3500</v>
      </c>
      <c r="U1121" s="211">
        <v>327.68</v>
      </c>
      <c r="V1121" s="213">
        <v>2286.2800000000002</v>
      </c>
      <c r="W1121" s="213">
        <v>65.319999999999993</v>
      </c>
    </row>
    <row r="1122" spans="1:23" ht="15" customHeight="1">
      <c r="C1122" s="3">
        <v>10</v>
      </c>
      <c r="D1122" s="15" t="s">
        <v>852</v>
      </c>
      <c r="E1122" s="312" t="s">
        <v>206</v>
      </c>
      <c r="G1122" s="26">
        <v>0</v>
      </c>
      <c r="H1122" s="26">
        <v>0</v>
      </c>
      <c r="I1122" s="26">
        <v>0</v>
      </c>
      <c r="J1122" s="26">
        <v>0</v>
      </c>
      <c r="K1122" s="26">
        <v>300</v>
      </c>
      <c r="L1122" s="26">
        <v>0</v>
      </c>
      <c r="M1122" s="26">
        <v>0</v>
      </c>
      <c r="N1122" s="26">
        <v>300</v>
      </c>
      <c r="O1122" s="285"/>
      <c r="P1122" s="202">
        <v>1106</v>
      </c>
      <c r="Q1122" s="210">
        <v>10</v>
      </c>
      <c r="R1122" s="205" t="s">
        <v>917</v>
      </c>
      <c r="S1122" s="206" t="s">
        <v>216</v>
      </c>
      <c r="T1122" s="211">
        <v>0</v>
      </c>
      <c r="U1122" s="211">
        <v>0</v>
      </c>
      <c r="V1122" s="213">
        <v>0</v>
      </c>
      <c r="W1122" s="213">
        <v>0</v>
      </c>
    </row>
    <row r="1123" spans="1:23" ht="15" customHeight="1">
      <c r="C1123" s="3">
        <v>10</v>
      </c>
      <c r="D1123" s="15" t="s">
        <v>853</v>
      </c>
      <c r="E1123" s="312" t="s">
        <v>208</v>
      </c>
      <c r="G1123" s="26">
        <v>0</v>
      </c>
      <c r="H1123" s="26">
        <v>0</v>
      </c>
      <c r="I1123" s="26">
        <v>0</v>
      </c>
      <c r="J1123" s="26">
        <v>0</v>
      </c>
      <c r="K1123" s="26">
        <v>12000</v>
      </c>
      <c r="L1123" s="26">
        <v>0</v>
      </c>
      <c r="M1123" s="26">
        <f>1419*3</f>
        <v>4257</v>
      </c>
      <c r="N1123" s="26">
        <v>6000</v>
      </c>
      <c r="O1123" s="285" t="s">
        <v>2843</v>
      </c>
      <c r="P1123" s="202">
        <v>1107</v>
      </c>
      <c r="Q1123" s="210">
        <v>10</v>
      </c>
      <c r="R1123" s="205" t="s">
        <v>918</v>
      </c>
      <c r="S1123" s="206" t="s">
        <v>139</v>
      </c>
      <c r="T1123" s="211">
        <v>3500</v>
      </c>
      <c r="U1123" s="211">
        <v>66.180000000000007</v>
      </c>
      <c r="V1123" s="213">
        <v>1560.24</v>
      </c>
      <c r="W1123" s="213">
        <v>44.58</v>
      </c>
    </row>
    <row r="1124" spans="1:23" ht="15" customHeight="1">
      <c r="C1124" s="3">
        <v>10</v>
      </c>
      <c r="D1124" s="15" t="s">
        <v>854</v>
      </c>
      <c r="E1124" s="312" t="s">
        <v>210</v>
      </c>
      <c r="G1124" s="26">
        <v>0</v>
      </c>
      <c r="H1124" s="26">
        <v>0</v>
      </c>
      <c r="I1124" s="26">
        <v>0</v>
      </c>
      <c r="J1124" s="26">
        <v>0</v>
      </c>
      <c r="K1124" s="26">
        <v>0</v>
      </c>
      <c r="L1124" s="26">
        <v>0</v>
      </c>
      <c r="M1124" s="26">
        <v>0</v>
      </c>
      <c r="N1124" s="26">
        <v>0</v>
      </c>
      <c r="O1124" s="285"/>
      <c r="P1124" s="202">
        <v>1108</v>
      </c>
      <c r="Q1124" s="210">
        <v>10</v>
      </c>
      <c r="R1124" s="205" t="s">
        <v>919</v>
      </c>
      <c r="S1124" s="206" t="s">
        <v>654</v>
      </c>
      <c r="T1124" s="211">
        <v>0</v>
      </c>
      <c r="U1124" s="211">
        <v>0</v>
      </c>
      <c r="V1124" s="213">
        <v>0</v>
      </c>
      <c r="W1124" s="213">
        <v>0</v>
      </c>
    </row>
    <row r="1125" spans="1:23" ht="15" customHeight="1">
      <c r="C1125" s="3">
        <v>10</v>
      </c>
      <c r="D1125" s="15" t="s">
        <v>855</v>
      </c>
      <c r="E1125" s="312" t="s">
        <v>213</v>
      </c>
      <c r="G1125" s="26">
        <v>0</v>
      </c>
      <c r="H1125" s="26">
        <v>0</v>
      </c>
      <c r="I1125" s="26">
        <v>0</v>
      </c>
      <c r="J1125" s="26">
        <v>0</v>
      </c>
      <c r="K1125" s="26">
        <v>0</v>
      </c>
      <c r="L1125" s="26">
        <v>0</v>
      </c>
      <c r="M1125" s="26">
        <v>0</v>
      </c>
      <c r="N1125" s="26">
        <v>0</v>
      </c>
      <c r="O1125" s="285" t="s">
        <v>2933</v>
      </c>
      <c r="P1125" s="202">
        <v>1109</v>
      </c>
      <c r="Q1125" s="210">
        <v>10</v>
      </c>
      <c r="R1125" s="205" t="s">
        <v>920</v>
      </c>
      <c r="S1125" s="206" t="s">
        <v>921</v>
      </c>
      <c r="T1125" s="211">
        <v>58960</v>
      </c>
      <c r="U1125" s="211">
        <v>0</v>
      </c>
      <c r="V1125" s="213">
        <v>17777.48</v>
      </c>
      <c r="W1125" s="213">
        <v>30.15</v>
      </c>
    </row>
    <row r="1126" spans="1:23" ht="15" customHeight="1">
      <c r="G1126" s="26"/>
      <c r="H1126" s="26"/>
      <c r="I1126" s="26"/>
      <c r="J1126" s="26"/>
      <c r="K1126" s="26"/>
      <c r="L1126" s="26"/>
      <c r="M1126" s="26"/>
      <c r="N1126" s="26"/>
      <c r="P1126" s="202">
        <v>1110</v>
      </c>
      <c r="Q1126" s="210">
        <v>10</v>
      </c>
      <c r="R1126" s="205" t="s">
        <v>922</v>
      </c>
      <c r="S1126" s="206" t="s">
        <v>141</v>
      </c>
      <c r="T1126" s="211">
        <v>0</v>
      </c>
      <c r="U1126" s="211">
        <v>0</v>
      </c>
      <c r="V1126" s="213">
        <v>0</v>
      </c>
      <c r="W1126" s="213">
        <v>0</v>
      </c>
    </row>
    <row r="1127" spans="1:23" s="200" customFormat="1" ht="15" customHeight="1">
      <c r="A1127" s="196" t="s">
        <v>104</v>
      </c>
      <c r="B1127" s="196" t="s">
        <v>2317</v>
      </c>
      <c r="C1127" s="75"/>
      <c r="D1127" s="323" t="s">
        <v>2118</v>
      </c>
      <c r="E1127" s="323"/>
      <c r="F1127" s="324"/>
      <c r="G1127" s="325">
        <f>SUM(G1109:G1126)</f>
        <v>126</v>
      </c>
      <c r="H1127" s="325">
        <f t="shared" ref="H1127:N1127" si="95">SUM(H1109:H1126)</f>
        <v>20</v>
      </c>
      <c r="I1127" s="325">
        <f t="shared" si="95"/>
        <v>0</v>
      </c>
      <c r="J1127" s="325">
        <f t="shared" si="95"/>
        <v>3257</v>
      </c>
      <c r="K1127" s="325">
        <f t="shared" si="95"/>
        <v>13050</v>
      </c>
      <c r="L1127" s="325">
        <f t="shared" si="95"/>
        <v>659</v>
      </c>
      <c r="M1127" s="325">
        <f t="shared" si="95"/>
        <v>14316</v>
      </c>
      <c r="N1127" s="325">
        <f t="shared" si="95"/>
        <v>13550</v>
      </c>
      <c r="O1127" s="287"/>
      <c r="P1127" s="202">
        <v>1111</v>
      </c>
      <c r="Q1127" s="210">
        <v>10</v>
      </c>
      <c r="R1127" s="205" t="s">
        <v>923</v>
      </c>
      <c r="S1127" s="206" t="s">
        <v>143</v>
      </c>
      <c r="T1127" s="211">
        <v>0</v>
      </c>
      <c r="U1127" s="211">
        <v>0</v>
      </c>
      <c r="V1127" s="213">
        <v>0</v>
      </c>
      <c r="W1127" s="213">
        <v>0</v>
      </c>
    </row>
    <row r="1128" spans="1:23" s="46" customFormat="1" ht="15" customHeight="1">
      <c r="A1128" s="2"/>
      <c r="B1128" s="2"/>
      <c r="C1128" s="3"/>
      <c r="D1128" s="47"/>
      <c r="E1128" s="47"/>
      <c r="F1128" s="191"/>
      <c r="G1128" s="48"/>
      <c r="H1128" s="48"/>
      <c r="I1128" s="48"/>
      <c r="J1128" s="48"/>
      <c r="K1128" s="48"/>
      <c r="L1128" s="48"/>
      <c r="M1128" s="48"/>
      <c r="N1128" s="48"/>
      <c r="O1128" s="289"/>
      <c r="P1128" s="202">
        <v>1112</v>
      </c>
      <c r="Q1128" s="210">
        <v>10</v>
      </c>
      <c r="R1128" s="205" t="s">
        <v>924</v>
      </c>
      <c r="S1128" s="206" t="s">
        <v>145</v>
      </c>
      <c r="T1128" s="211">
        <v>12500</v>
      </c>
      <c r="U1128" s="211">
        <v>614.69000000000005</v>
      </c>
      <c r="V1128" s="213">
        <v>5429.54</v>
      </c>
      <c r="W1128" s="213">
        <v>43.44</v>
      </c>
    </row>
    <row r="1129" spans="1:23" ht="15" customHeight="1">
      <c r="D1129" s="47" t="s">
        <v>2119</v>
      </c>
      <c r="G1129" s="26"/>
      <c r="H1129" s="26"/>
      <c r="I1129" s="26"/>
      <c r="J1129" s="26"/>
      <c r="K1129" s="26"/>
      <c r="L1129" s="26"/>
      <c r="M1129" s="26"/>
      <c r="N1129" s="26"/>
      <c r="P1129" s="202">
        <v>1113</v>
      </c>
      <c r="Q1129" s="210">
        <v>10</v>
      </c>
      <c r="R1129" s="205" t="s">
        <v>925</v>
      </c>
      <c r="S1129" s="206" t="s">
        <v>147</v>
      </c>
      <c r="T1129" s="211">
        <v>50</v>
      </c>
      <c r="U1129" s="211">
        <v>0</v>
      </c>
      <c r="V1129" s="213">
        <v>8.7100000000000009</v>
      </c>
      <c r="W1129" s="213">
        <v>17.420000000000002</v>
      </c>
    </row>
    <row r="1130" spans="1:23" ht="15" customHeight="1">
      <c r="G1130" s="26"/>
      <c r="H1130" s="26"/>
      <c r="I1130" s="26"/>
      <c r="J1130" s="26"/>
      <c r="K1130" s="26"/>
      <c r="L1130" s="26"/>
      <c r="M1130" s="26"/>
      <c r="N1130" s="26"/>
      <c r="P1130" s="202">
        <v>1114</v>
      </c>
      <c r="Q1130" s="210">
        <v>10</v>
      </c>
      <c r="R1130" s="205" t="s">
        <v>926</v>
      </c>
      <c r="S1130" s="206" t="s">
        <v>149</v>
      </c>
      <c r="T1130" s="211">
        <v>250</v>
      </c>
      <c r="U1130" s="211">
        <v>0</v>
      </c>
      <c r="V1130" s="213">
        <v>15.95</v>
      </c>
      <c r="W1130" s="213">
        <v>6.38</v>
      </c>
    </row>
    <row r="1131" spans="1:23" ht="15" customHeight="1">
      <c r="C1131" s="3">
        <v>10</v>
      </c>
      <c r="D1131" s="15" t="s">
        <v>856</v>
      </c>
      <c r="E1131" s="312" t="s">
        <v>137</v>
      </c>
      <c r="G1131" s="26">
        <v>0</v>
      </c>
      <c r="H1131" s="26">
        <v>0</v>
      </c>
      <c r="I1131" s="26">
        <v>0</v>
      </c>
      <c r="J1131" s="26">
        <v>0</v>
      </c>
      <c r="K1131" s="26">
        <v>200</v>
      </c>
      <c r="L1131" s="26">
        <v>0</v>
      </c>
      <c r="M1131" s="26">
        <v>331</v>
      </c>
      <c r="N1131" s="26">
        <v>200</v>
      </c>
      <c r="O1131" s="285"/>
      <c r="P1131" s="202">
        <v>1115</v>
      </c>
      <c r="Q1131" s="210">
        <v>10</v>
      </c>
      <c r="R1131" s="205" t="s">
        <v>927</v>
      </c>
      <c r="S1131" s="206" t="s">
        <v>151</v>
      </c>
      <c r="T1131" s="211">
        <v>1000</v>
      </c>
      <c r="U1131" s="211">
        <v>1230</v>
      </c>
      <c r="V1131" s="213">
        <v>2012.42</v>
      </c>
      <c r="W1131" s="213">
        <v>201.24</v>
      </c>
    </row>
    <row r="1132" spans="1:23" ht="15" customHeight="1">
      <c r="C1132" s="3">
        <v>10</v>
      </c>
      <c r="D1132" s="15" t="s">
        <v>857</v>
      </c>
      <c r="E1132" s="312" t="s">
        <v>139</v>
      </c>
      <c r="G1132" s="26">
        <v>0</v>
      </c>
      <c r="H1132" s="26">
        <v>0</v>
      </c>
      <c r="I1132" s="26">
        <v>0</v>
      </c>
      <c r="J1132" s="26">
        <v>8</v>
      </c>
      <c r="K1132" s="26">
        <v>450</v>
      </c>
      <c r="L1132" s="26">
        <v>1560</v>
      </c>
      <c r="M1132" s="26">
        <v>2674</v>
      </c>
      <c r="N1132" s="26">
        <v>450</v>
      </c>
      <c r="O1132" s="285"/>
      <c r="P1132" s="202">
        <v>1116</v>
      </c>
      <c r="Q1132" s="210">
        <v>10</v>
      </c>
      <c r="R1132" s="205" t="s">
        <v>928</v>
      </c>
      <c r="S1132" s="206" t="s">
        <v>153</v>
      </c>
      <c r="T1132" s="211">
        <v>10000</v>
      </c>
      <c r="U1132" s="211">
        <v>29.38</v>
      </c>
      <c r="V1132" s="213">
        <v>5627</v>
      </c>
      <c r="W1132" s="213">
        <v>56.27</v>
      </c>
    </row>
    <row r="1133" spans="1:23" ht="15" customHeight="1">
      <c r="C1133" s="3">
        <v>10</v>
      </c>
      <c r="D1133" s="15" t="s">
        <v>858</v>
      </c>
      <c r="E1133" s="312" t="s">
        <v>141</v>
      </c>
      <c r="G1133" s="26">
        <v>0</v>
      </c>
      <c r="H1133" s="26">
        <v>0</v>
      </c>
      <c r="I1133" s="26">
        <v>0</v>
      </c>
      <c r="J1133" s="26">
        <v>0</v>
      </c>
      <c r="K1133" s="26">
        <v>0</v>
      </c>
      <c r="L1133" s="26">
        <v>0</v>
      </c>
      <c r="M1133" s="26">
        <v>0</v>
      </c>
      <c r="N1133" s="26">
        <v>0</v>
      </c>
      <c r="O1133" s="285"/>
      <c r="P1133" s="202">
        <v>1117</v>
      </c>
      <c r="Q1133" s="210">
        <v>10</v>
      </c>
      <c r="R1133" s="205" t="s">
        <v>929</v>
      </c>
      <c r="S1133" s="206" t="s">
        <v>155</v>
      </c>
      <c r="T1133" s="211">
        <v>0</v>
      </c>
      <c r="U1133" s="211">
        <v>0</v>
      </c>
      <c r="V1133" s="213">
        <v>0</v>
      </c>
      <c r="W1133" s="213">
        <v>0</v>
      </c>
    </row>
    <row r="1134" spans="1:23" ht="15" customHeight="1">
      <c r="C1134" s="3">
        <v>10</v>
      </c>
      <c r="D1134" s="15" t="s">
        <v>859</v>
      </c>
      <c r="E1134" s="312" t="s">
        <v>145</v>
      </c>
      <c r="G1134" s="26">
        <v>0</v>
      </c>
      <c r="H1134" s="26">
        <v>0</v>
      </c>
      <c r="I1134" s="26">
        <v>0</v>
      </c>
      <c r="J1134" s="26">
        <v>0</v>
      </c>
      <c r="K1134" s="26">
        <v>25000</v>
      </c>
      <c r="L1134" s="26">
        <v>0</v>
      </c>
      <c r="M1134" s="26">
        <v>5000</v>
      </c>
      <c r="N1134" s="26">
        <v>5000</v>
      </c>
      <c r="O1134" s="285" t="s">
        <v>2844</v>
      </c>
      <c r="P1134" s="202">
        <v>1118</v>
      </c>
      <c r="Q1134" s="210">
        <v>10</v>
      </c>
      <c r="R1134" s="205" t="s">
        <v>930</v>
      </c>
      <c r="S1134" s="206" t="s">
        <v>666</v>
      </c>
      <c r="T1134" s="211">
        <v>1500</v>
      </c>
      <c r="U1134" s="211">
        <v>89.59</v>
      </c>
      <c r="V1134" s="213">
        <v>323.33999999999997</v>
      </c>
      <c r="W1134" s="213">
        <v>21.56</v>
      </c>
    </row>
    <row r="1135" spans="1:23" ht="15" customHeight="1">
      <c r="C1135" s="3">
        <v>10</v>
      </c>
      <c r="D1135" s="15" t="s">
        <v>860</v>
      </c>
      <c r="E1135" s="312" t="s">
        <v>147</v>
      </c>
      <c r="G1135" s="26">
        <v>0</v>
      </c>
      <c r="H1135" s="26">
        <v>0</v>
      </c>
      <c r="I1135" s="26">
        <v>0</v>
      </c>
      <c r="J1135" s="26">
        <v>0</v>
      </c>
      <c r="K1135" s="26">
        <v>0</v>
      </c>
      <c r="L1135" s="26">
        <v>0</v>
      </c>
      <c r="M1135" s="26">
        <v>11</v>
      </c>
      <c r="N1135" s="26">
        <v>0</v>
      </c>
      <c r="O1135" s="285"/>
      <c r="P1135" s="202">
        <v>1119</v>
      </c>
      <c r="Q1135" s="210">
        <v>10</v>
      </c>
      <c r="R1135" s="205" t="s">
        <v>931</v>
      </c>
      <c r="S1135" s="206" t="s">
        <v>668</v>
      </c>
      <c r="T1135" s="211">
        <v>0</v>
      </c>
      <c r="U1135" s="211">
        <v>0</v>
      </c>
      <c r="V1135" s="213">
        <v>0</v>
      </c>
      <c r="W1135" s="213">
        <v>0</v>
      </c>
    </row>
    <row r="1136" spans="1:23" ht="15" customHeight="1">
      <c r="C1136" s="3">
        <v>10</v>
      </c>
      <c r="D1136" s="15" t="s">
        <v>861</v>
      </c>
      <c r="E1136" s="312" t="s">
        <v>149</v>
      </c>
      <c r="G1136" s="26">
        <v>0</v>
      </c>
      <c r="H1136" s="26">
        <v>3895</v>
      </c>
      <c r="I1136" s="26">
        <v>0</v>
      </c>
      <c r="J1136" s="26">
        <v>84</v>
      </c>
      <c r="K1136" s="26">
        <v>342</v>
      </c>
      <c r="L1136" s="26">
        <v>0</v>
      </c>
      <c r="M1136" s="26">
        <v>350</v>
      </c>
      <c r="N1136" s="26">
        <v>342</v>
      </c>
      <c r="O1136" s="285"/>
      <c r="P1136" s="202">
        <v>1120</v>
      </c>
      <c r="Q1136" s="210">
        <v>10</v>
      </c>
      <c r="R1136" s="205" t="s">
        <v>932</v>
      </c>
      <c r="S1136" s="206" t="s">
        <v>157</v>
      </c>
      <c r="T1136" s="211">
        <v>0</v>
      </c>
      <c r="U1136" s="211">
        <v>0</v>
      </c>
      <c r="V1136" s="213">
        <v>9.25</v>
      </c>
      <c r="W1136" s="213">
        <v>0</v>
      </c>
    </row>
    <row r="1137" spans="1:23" ht="15" customHeight="1">
      <c r="C1137" s="3">
        <v>10</v>
      </c>
      <c r="D1137" s="15" t="s">
        <v>862</v>
      </c>
      <c r="E1137" s="312" t="s">
        <v>151</v>
      </c>
      <c r="G1137" s="26">
        <v>0</v>
      </c>
      <c r="H1137" s="26">
        <v>0</v>
      </c>
      <c r="I1137" s="26">
        <v>0</v>
      </c>
      <c r="J1137" s="26">
        <v>0</v>
      </c>
      <c r="K1137" s="26">
        <v>0</v>
      </c>
      <c r="L1137" s="26">
        <v>0</v>
      </c>
      <c r="M1137" s="26">
        <v>0</v>
      </c>
      <c r="N1137" s="26">
        <v>0</v>
      </c>
      <c r="O1137" s="285"/>
      <c r="P1137" s="202">
        <v>1121</v>
      </c>
      <c r="Q1137" s="210">
        <v>10</v>
      </c>
      <c r="R1137" s="205" t="s">
        <v>933</v>
      </c>
      <c r="S1137" s="206" t="s">
        <v>159</v>
      </c>
      <c r="T1137" s="211">
        <v>38739</v>
      </c>
      <c r="U1137" s="211">
        <v>1001.07</v>
      </c>
      <c r="V1137" s="213">
        <v>58070.6</v>
      </c>
      <c r="W1137" s="213">
        <v>149.9</v>
      </c>
    </row>
    <row r="1138" spans="1:23" ht="15" customHeight="1">
      <c r="C1138" s="3">
        <v>10</v>
      </c>
      <c r="D1138" s="15" t="s">
        <v>863</v>
      </c>
      <c r="E1138" s="312" t="s">
        <v>153</v>
      </c>
      <c r="G1138" s="26">
        <v>0</v>
      </c>
      <c r="H1138" s="26">
        <v>0</v>
      </c>
      <c r="I1138" s="26">
        <v>12</v>
      </c>
      <c r="J1138" s="26">
        <v>1000</v>
      </c>
      <c r="K1138" s="26">
        <v>3000</v>
      </c>
      <c r="L1138" s="26">
        <v>0</v>
      </c>
      <c r="M1138" s="26">
        <v>2400</v>
      </c>
      <c r="N1138" s="26">
        <v>3000</v>
      </c>
      <c r="O1138" s="285"/>
      <c r="P1138" s="202">
        <v>1122</v>
      </c>
      <c r="Q1138" s="210">
        <v>10</v>
      </c>
      <c r="R1138" s="205" t="s">
        <v>934</v>
      </c>
      <c r="S1138" s="206" t="s">
        <v>229</v>
      </c>
      <c r="T1138" s="211">
        <v>8394</v>
      </c>
      <c r="U1138" s="211">
        <v>356.5</v>
      </c>
      <c r="V1138" s="213">
        <v>24708.69</v>
      </c>
      <c r="W1138" s="213">
        <v>294.36</v>
      </c>
    </row>
    <row r="1139" spans="1:23" ht="15" customHeight="1">
      <c r="C1139" s="3">
        <v>10</v>
      </c>
      <c r="D1139" s="15" t="s">
        <v>864</v>
      </c>
      <c r="E1139" s="312" t="s">
        <v>159</v>
      </c>
      <c r="G1139" s="26">
        <v>0</v>
      </c>
      <c r="H1139" s="26">
        <v>0</v>
      </c>
      <c r="I1139" s="26">
        <v>0</v>
      </c>
      <c r="J1139" s="26">
        <v>0</v>
      </c>
      <c r="K1139" s="26">
        <v>32000</v>
      </c>
      <c r="L1139" s="26">
        <v>0</v>
      </c>
      <c r="M1139" s="26">
        <v>0</v>
      </c>
      <c r="N1139" s="26">
        <v>0</v>
      </c>
      <c r="O1139" s="285" t="s">
        <v>2934</v>
      </c>
      <c r="P1139" s="202">
        <v>1123</v>
      </c>
      <c r="Q1139" s="210">
        <v>10</v>
      </c>
      <c r="R1139" s="205" t="s">
        <v>935</v>
      </c>
      <c r="S1139" s="206" t="s">
        <v>162</v>
      </c>
      <c r="T1139" s="211">
        <v>0</v>
      </c>
      <c r="U1139" s="211">
        <v>0</v>
      </c>
      <c r="V1139" s="213">
        <v>0</v>
      </c>
      <c r="W1139" s="213">
        <v>0</v>
      </c>
    </row>
    <row r="1140" spans="1:23" ht="15" customHeight="1">
      <c r="C1140" s="3">
        <v>10</v>
      </c>
      <c r="D1140" s="15" t="s">
        <v>865</v>
      </c>
      <c r="E1140" s="312" t="s">
        <v>229</v>
      </c>
      <c r="G1140" s="26">
        <v>0</v>
      </c>
      <c r="H1140" s="26">
        <v>0</v>
      </c>
      <c r="I1140" s="26">
        <v>0</v>
      </c>
      <c r="J1140" s="26">
        <v>0</v>
      </c>
      <c r="K1140" s="26">
        <v>0</v>
      </c>
      <c r="L1140" s="26">
        <v>0</v>
      </c>
      <c r="M1140" s="26">
        <v>0</v>
      </c>
      <c r="N1140" s="26">
        <v>0</v>
      </c>
      <c r="O1140" s="285"/>
      <c r="P1140" s="202">
        <v>1124</v>
      </c>
      <c r="Q1140" s="210">
        <v>10</v>
      </c>
      <c r="R1140" s="205" t="s">
        <v>2623</v>
      </c>
      <c r="S1140" s="206"/>
      <c r="T1140" s="211"/>
      <c r="U1140" s="211"/>
      <c r="V1140" s="213"/>
      <c r="W1140" s="213"/>
    </row>
    <row r="1141" spans="1:23" ht="15" customHeight="1">
      <c r="C1141" s="3">
        <v>10</v>
      </c>
      <c r="D1141" s="15" t="s">
        <v>866</v>
      </c>
      <c r="E1141" s="312" t="s">
        <v>162</v>
      </c>
      <c r="G1141" s="26">
        <v>0</v>
      </c>
      <c r="H1141" s="26">
        <v>0</v>
      </c>
      <c r="I1141" s="26">
        <v>0</v>
      </c>
      <c r="J1141" s="26">
        <v>0</v>
      </c>
      <c r="K1141" s="26">
        <v>75</v>
      </c>
      <c r="L1141" s="26">
        <v>373</v>
      </c>
      <c r="M1141" s="26">
        <v>1400</v>
      </c>
      <c r="N1141" s="26">
        <v>75</v>
      </c>
      <c r="O1141" s="285"/>
      <c r="P1141" s="202">
        <v>1125</v>
      </c>
      <c r="Q1141" s="210">
        <v>10</v>
      </c>
      <c r="R1141" s="205" t="s">
        <v>135</v>
      </c>
      <c r="S1141" s="206"/>
      <c r="T1141" s="211">
        <v>138393</v>
      </c>
      <c r="U1141" s="211">
        <v>3715.09</v>
      </c>
      <c r="V1141" s="213">
        <v>117829.5</v>
      </c>
      <c r="W1141" s="213">
        <v>0</v>
      </c>
    </row>
    <row r="1142" spans="1:23" ht="15" customHeight="1">
      <c r="G1142" s="26"/>
      <c r="H1142" s="26"/>
      <c r="I1142" s="26"/>
      <c r="J1142" s="26"/>
      <c r="K1142" s="26"/>
      <c r="L1142" s="26"/>
      <c r="M1142" s="26"/>
      <c r="N1142" s="26"/>
      <c r="O1142" s="293"/>
      <c r="P1142" s="202">
        <v>1126</v>
      </c>
      <c r="Q1142" s="210">
        <v>10</v>
      </c>
      <c r="R1142" s="205" t="s">
        <v>163</v>
      </c>
      <c r="S1142" s="206"/>
      <c r="T1142" s="211"/>
      <c r="U1142" s="211"/>
      <c r="V1142" s="213"/>
      <c r="W1142" s="213"/>
    </row>
    <row r="1143" spans="1:23" s="22" customFormat="1" ht="15" customHeight="1">
      <c r="A1143" s="2" t="s">
        <v>135</v>
      </c>
      <c r="B1143" s="2" t="s">
        <v>2317</v>
      </c>
      <c r="C1143" s="3"/>
      <c r="D1143" s="323" t="s">
        <v>2120</v>
      </c>
      <c r="E1143" s="323"/>
      <c r="F1143" s="324"/>
      <c r="G1143" s="325">
        <f>SUM(G1129:G1142)</f>
        <v>0</v>
      </c>
      <c r="H1143" s="325">
        <f t="shared" ref="H1143:N1143" si="96">SUM(H1129:H1142)</f>
        <v>3895</v>
      </c>
      <c r="I1143" s="325">
        <f t="shared" si="96"/>
        <v>12</v>
      </c>
      <c r="J1143" s="325">
        <f t="shared" si="96"/>
        <v>1092</v>
      </c>
      <c r="K1143" s="325">
        <f t="shared" si="96"/>
        <v>61067</v>
      </c>
      <c r="L1143" s="325">
        <f t="shared" si="96"/>
        <v>1933</v>
      </c>
      <c r="M1143" s="325">
        <f t="shared" si="96"/>
        <v>12166</v>
      </c>
      <c r="N1143" s="325">
        <f t="shared" si="96"/>
        <v>9067</v>
      </c>
      <c r="O1143" s="290"/>
      <c r="P1143" s="202">
        <v>1127</v>
      </c>
      <c r="Q1143" s="210">
        <v>10</v>
      </c>
      <c r="R1143" s="205" t="s">
        <v>2627</v>
      </c>
      <c r="S1143" s="206"/>
      <c r="T1143" s="211"/>
      <c r="U1143" s="211"/>
      <c r="V1143" s="213"/>
      <c r="W1143" s="213"/>
    </row>
    <row r="1144" spans="1:23" s="46" customFormat="1" ht="15" customHeight="1">
      <c r="A1144" s="2"/>
      <c r="B1144" s="2"/>
      <c r="C1144" s="3"/>
      <c r="D1144" s="47"/>
      <c r="E1144" s="47"/>
      <c r="F1144" s="191"/>
      <c r="G1144" s="48"/>
      <c r="H1144" s="48"/>
      <c r="I1144" s="48"/>
      <c r="J1144" s="48"/>
      <c r="K1144" s="48"/>
      <c r="L1144" s="48"/>
      <c r="M1144" s="48"/>
      <c r="N1144" s="48"/>
      <c r="O1144" s="289"/>
      <c r="P1144" s="202">
        <v>1128</v>
      </c>
      <c r="Q1144" s="210">
        <v>10</v>
      </c>
      <c r="R1144" s="205" t="s">
        <v>936</v>
      </c>
      <c r="S1144" s="206" t="s">
        <v>433</v>
      </c>
      <c r="T1144" s="211">
        <v>0</v>
      </c>
      <c r="U1144" s="211">
        <v>0</v>
      </c>
      <c r="V1144" s="213">
        <v>0</v>
      </c>
      <c r="W1144" s="213">
        <v>0</v>
      </c>
    </row>
    <row r="1145" spans="1:23" ht="15" customHeight="1">
      <c r="D1145" s="47" t="s">
        <v>2121</v>
      </c>
      <c r="G1145" s="26"/>
      <c r="H1145" s="26"/>
      <c r="I1145" s="26"/>
      <c r="J1145" s="26"/>
      <c r="K1145" s="26"/>
      <c r="L1145" s="26"/>
      <c r="M1145" s="26"/>
      <c r="N1145" s="26"/>
      <c r="P1145" s="202">
        <v>1129</v>
      </c>
      <c r="Q1145" s="210">
        <v>10</v>
      </c>
      <c r="R1145" s="205" t="s">
        <v>937</v>
      </c>
      <c r="S1145" s="206" t="s">
        <v>435</v>
      </c>
      <c r="T1145" s="211">
        <v>0</v>
      </c>
      <c r="U1145" s="211">
        <v>0</v>
      </c>
      <c r="V1145" s="213">
        <v>0</v>
      </c>
      <c r="W1145" s="213">
        <v>0</v>
      </c>
    </row>
    <row r="1146" spans="1:23" ht="15" customHeight="1">
      <c r="G1146" s="26"/>
      <c r="H1146" s="26"/>
      <c r="I1146" s="26"/>
      <c r="J1146" s="26"/>
      <c r="K1146" s="26"/>
      <c r="L1146" s="26"/>
      <c r="M1146" s="26"/>
      <c r="N1146" s="26"/>
      <c r="P1146" s="202">
        <v>1130</v>
      </c>
      <c r="Q1146" s="210">
        <v>10</v>
      </c>
      <c r="R1146" s="205" t="s">
        <v>938</v>
      </c>
      <c r="S1146" s="206" t="s">
        <v>232</v>
      </c>
      <c r="T1146" s="211">
        <v>500</v>
      </c>
      <c r="U1146" s="211">
        <v>0</v>
      </c>
      <c r="V1146" s="213">
        <v>0</v>
      </c>
      <c r="W1146" s="213">
        <v>0</v>
      </c>
    </row>
    <row r="1147" spans="1:23" ht="15" customHeight="1">
      <c r="C1147" s="3">
        <v>10</v>
      </c>
      <c r="D1147" s="15" t="s">
        <v>867</v>
      </c>
      <c r="E1147" s="312" t="s">
        <v>232</v>
      </c>
      <c r="G1147" s="26">
        <v>63</v>
      </c>
      <c r="H1147" s="26">
        <v>0</v>
      </c>
      <c r="I1147" s="26">
        <v>0</v>
      </c>
      <c r="J1147" s="26">
        <v>0</v>
      </c>
      <c r="K1147" s="26">
        <v>0</v>
      </c>
      <c r="L1147" s="26">
        <v>0</v>
      </c>
      <c r="M1147" s="26">
        <v>0</v>
      </c>
      <c r="N1147" s="26">
        <v>0</v>
      </c>
      <c r="O1147" s="285"/>
      <c r="P1147" s="202">
        <v>1131</v>
      </c>
      <c r="Q1147" s="210">
        <v>10</v>
      </c>
      <c r="R1147" s="205" t="s">
        <v>939</v>
      </c>
      <c r="S1147" s="206" t="s">
        <v>236</v>
      </c>
      <c r="T1147" s="211">
        <v>0</v>
      </c>
      <c r="U1147" s="211">
        <v>0</v>
      </c>
      <c r="V1147" s="213">
        <v>0</v>
      </c>
      <c r="W1147" s="213">
        <v>0</v>
      </c>
    </row>
    <row r="1148" spans="1:23" ht="15" customHeight="1">
      <c r="C1148" s="3">
        <v>10</v>
      </c>
      <c r="D1148" s="15" t="s">
        <v>868</v>
      </c>
      <c r="E1148" s="312" t="s">
        <v>869</v>
      </c>
      <c r="G1148" s="26">
        <v>0</v>
      </c>
      <c r="H1148" s="26">
        <v>0</v>
      </c>
      <c r="I1148" s="26">
        <v>0</v>
      </c>
      <c r="J1148" s="26">
        <v>210</v>
      </c>
      <c r="K1148" s="26">
        <v>500</v>
      </c>
      <c r="L1148" s="26">
        <v>535</v>
      </c>
      <c r="M1148" s="26">
        <v>6150</v>
      </c>
      <c r="N1148" s="26">
        <v>500</v>
      </c>
      <c r="O1148" s="285"/>
      <c r="P1148" s="202">
        <v>1132</v>
      </c>
      <c r="Q1148" s="210">
        <v>10</v>
      </c>
      <c r="R1148" s="205" t="s">
        <v>940</v>
      </c>
      <c r="S1148" s="206" t="s">
        <v>329</v>
      </c>
      <c r="T1148" s="211">
        <v>0</v>
      </c>
      <c r="U1148" s="211">
        <v>0</v>
      </c>
      <c r="V1148" s="213">
        <v>0</v>
      </c>
      <c r="W1148" s="213">
        <v>0</v>
      </c>
    </row>
    <row r="1149" spans="1:23" ht="15" customHeight="1">
      <c r="C1149" s="3">
        <v>10</v>
      </c>
      <c r="D1149" s="15" t="s">
        <v>870</v>
      </c>
      <c r="E1149" s="312" t="s">
        <v>329</v>
      </c>
      <c r="G1149" s="26">
        <v>0</v>
      </c>
      <c r="H1149" s="26">
        <v>0</v>
      </c>
      <c r="I1149" s="26">
        <v>0</v>
      </c>
      <c r="J1149" s="26">
        <v>0</v>
      </c>
      <c r="K1149" s="26">
        <v>0</v>
      </c>
      <c r="L1149" s="26">
        <v>0</v>
      </c>
      <c r="M1149" s="26">
        <v>0</v>
      </c>
      <c r="N1149" s="26">
        <v>0</v>
      </c>
      <c r="O1149" s="285"/>
      <c r="P1149" s="202">
        <v>1133</v>
      </c>
      <c r="Q1149" s="210">
        <v>10</v>
      </c>
      <c r="R1149" s="205" t="s">
        <v>941</v>
      </c>
      <c r="S1149" s="206" t="s">
        <v>165</v>
      </c>
      <c r="T1149" s="211">
        <v>500</v>
      </c>
      <c r="U1149" s="211">
        <v>0</v>
      </c>
      <c r="V1149" s="213">
        <v>407</v>
      </c>
      <c r="W1149" s="213">
        <v>81.400000000000006</v>
      </c>
    </row>
    <row r="1150" spans="1:23" ht="15" customHeight="1">
      <c r="C1150" s="3">
        <v>10</v>
      </c>
      <c r="D1150" s="15" t="s">
        <v>871</v>
      </c>
      <c r="E1150" s="312" t="s">
        <v>165</v>
      </c>
      <c r="G1150" s="26">
        <v>0</v>
      </c>
      <c r="H1150" s="26">
        <v>0</v>
      </c>
      <c r="I1150" s="26">
        <v>0</v>
      </c>
      <c r="J1150" s="26">
        <v>0</v>
      </c>
      <c r="K1150" s="26">
        <v>0</v>
      </c>
      <c r="L1150" s="26">
        <v>0</v>
      </c>
      <c r="M1150" s="26">
        <v>0</v>
      </c>
      <c r="N1150" s="26">
        <v>0</v>
      </c>
      <c r="O1150" s="285"/>
      <c r="P1150" s="202">
        <v>1134</v>
      </c>
      <c r="Q1150" s="210">
        <v>10</v>
      </c>
      <c r="R1150" s="205" t="s">
        <v>942</v>
      </c>
      <c r="S1150" s="206" t="s">
        <v>167</v>
      </c>
      <c r="T1150" s="211">
        <v>250</v>
      </c>
      <c r="U1150" s="211">
        <v>0</v>
      </c>
      <c r="V1150" s="213">
        <v>58.99</v>
      </c>
      <c r="W1150" s="213">
        <v>23.6</v>
      </c>
    </row>
    <row r="1151" spans="1:23" ht="15" customHeight="1">
      <c r="C1151" s="3">
        <v>10</v>
      </c>
      <c r="D1151" s="15" t="s">
        <v>872</v>
      </c>
      <c r="E1151" s="312" t="s">
        <v>167</v>
      </c>
      <c r="G1151" s="26">
        <v>0</v>
      </c>
      <c r="H1151" s="26">
        <v>0</v>
      </c>
      <c r="I1151" s="26">
        <v>0</v>
      </c>
      <c r="J1151" s="26">
        <v>60</v>
      </c>
      <c r="K1151" s="26">
        <v>500</v>
      </c>
      <c r="L1151" s="26">
        <v>0</v>
      </c>
      <c r="M1151" s="26">
        <v>300</v>
      </c>
      <c r="N1151" s="26">
        <v>500</v>
      </c>
      <c r="O1151" s="285"/>
      <c r="P1151" s="202">
        <v>1135</v>
      </c>
      <c r="Q1151" s="210">
        <v>10</v>
      </c>
      <c r="R1151" s="205" t="s">
        <v>943</v>
      </c>
      <c r="S1151" s="206" t="s">
        <v>169</v>
      </c>
      <c r="T1151" s="211">
        <v>1650</v>
      </c>
      <c r="U1151" s="211">
        <v>0</v>
      </c>
      <c r="V1151" s="213">
        <v>424.62</v>
      </c>
      <c r="W1151" s="213">
        <v>25.73</v>
      </c>
    </row>
    <row r="1152" spans="1:23" ht="15" customHeight="1">
      <c r="C1152" s="3">
        <v>10</v>
      </c>
      <c r="D1152" s="15" t="s">
        <v>873</v>
      </c>
      <c r="E1152" s="312" t="s">
        <v>169</v>
      </c>
      <c r="G1152" s="26">
        <v>0</v>
      </c>
      <c r="H1152" s="26">
        <v>0</v>
      </c>
      <c r="I1152" s="26">
        <v>0</v>
      </c>
      <c r="J1152" s="26">
        <v>0</v>
      </c>
      <c r="K1152" s="26">
        <v>0</v>
      </c>
      <c r="L1152" s="26">
        <v>0</v>
      </c>
      <c r="M1152" s="26">
        <v>0</v>
      </c>
      <c r="N1152" s="26">
        <v>0</v>
      </c>
      <c r="O1152" s="285"/>
      <c r="P1152" s="202">
        <v>1136</v>
      </c>
      <c r="Q1152" s="210">
        <v>10</v>
      </c>
      <c r="R1152" s="205" t="s">
        <v>944</v>
      </c>
      <c r="S1152" s="206" t="s">
        <v>171</v>
      </c>
      <c r="T1152" s="211">
        <v>3000</v>
      </c>
      <c r="U1152" s="211">
        <v>1016.88</v>
      </c>
      <c r="V1152" s="213">
        <v>3250.76</v>
      </c>
      <c r="W1152" s="213">
        <v>108.36</v>
      </c>
    </row>
    <row r="1153" spans="1:23" ht="15" customHeight="1">
      <c r="C1153" s="3">
        <v>10</v>
      </c>
      <c r="D1153" s="15" t="s">
        <v>874</v>
      </c>
      <c r="E1153" s="312" t="s">
        <v>173</v>
      </c>
      <c r="G1153" s="26">
        <v>0</v>
      </c>
      <c r="H1153" s="26">
        <v>0</v>
      </c>
      <c r="I1153" s="26">
        <v>0</v>
      </c>
      <c r="J1153" s="26">
        <v>0</v>
      </c>
      <c r="K1153" s="26">
        <v>0</v>
      </c>
      <c r="L1153" s="26">
        <v>0</v>
      </c>
      <c r="M1153" s="26">
        <v>0</v>
      </c>
      <c r="N1153" s="26">
        <v>0</v>
      </c>
      <c r="O1153" s="285"/>
      <c r="P1153" s="202">
        <v>1137</v>
      </c>
      <c r="Q1153" s="210">
        <v>10</v>
      </c>
      <c r="R1153" s="205" t="s">
        <v>945</v>
      </c>
      <c r="S1153" s="206" t="s">
        <v>173</v>
      </c>
      <c r="T1153" s="211">
        <v>0</v>
      </c>
      <c r="U1153" s="211">
        <v>0</v>
      </c>
      <c r="V1153" s="213">
        <v>20.57</v>
      </c>
      <c r="W1153" s="213">
        <v>0</v>
      </c>
    </row>
    <row r="1154" spans="1:23" ht="15" customHeight="1">
      <c r="C1154" s="3">
        <v>10</v>
      </c>
      <c r="D1154" s="15" t="s">
        <v>875</v>
      </c>
      <c r="E1154" s="312" t="s">
        <v>175</v>
      </c>
      <c r="G1154" s="26">
        <v>0</v>
      </c>
      <c r="H1154" s="26">
        <v>0</v>
      </c>
      <c r="I1154" s="26">
        <v>0</v>
      </c>
      <c r="J1154" s="26">
        <v>0</v>
      </c>
      <c r="K1154" s="26">
        <v>0</v>
      </c>
      <c r="L1154" s="26">
        <v>0</v>
      </c>
      <c r="M1154" s="26">
        <v>0</v>
      </c>
      <c r="N1154" s="26">
        <v>0</v>
      </c>
      <c r="O1154" s="285"/>
      <c r="P1154" s="202">
        <v>1138</v>
      </c>
      <c r="Q1154" s="210">
        <v>10</v>
      </c>
      <c r="R1154" s="205" t="s">
        <v>946</v>
      </c>
      <c r="S1154" s="206" t="s">
        <v>175</v>
      </c>
      <c r="T1154" s="211">
        <v>0</v>
      </c>
      <c r="U1154" s="211">
        <v>0</v>
      </c>
      <c r="V1154" s="213">
        <v>0</v>
      </c>
      <c r="W1154" s="213">
        <v>0</v>
      </c>
    </row>
    <row r="1155" spans="1:23" ht="15" customHeight="1">
      <c r="C1155" s="3">
        <v>10</v>
      </c>
      <c r="D1155" s="15" t="s">
        <v>876</v>
      </c>
      <c r="E1155" s="312" t="s">
        <v>244</v>
      </c>
      <c r="G1155" s="26">
        <v>0</v>
      </c>
      <c r="H1155" s="26">
        <v>0</v>
      </c>
      <c r="I1155" s="26">
        <v>0</v>
      </c>
      <c r="J1155" s="26">
        <v>0</v>
      </c>
      <c r="K1155" s="26">
        <v>0</v>
      </c>
      <c r="L1155" s="26">
        <v>0</v>
      </c>
      <c r="M1155" s="26">
        <v>0</v>
      </c>
      <c r="N1155" s="26">
        <v>1000</v>
      </c>
      <c r="O1155" s="285"/>
      <c r="P1155" s="202">
        <v>1139</v>
      </c>
      <c r="Q1155" s="210">
        <v>10</v>
      </c>
      <c r="R1155" s="205" t="s">
        <v>947</v>
      </c>
      <c r="S1155" s="206" t="s">
        <v>773</v>
      </c>
      <c r="T1155" s="211">
        <v>0</v>
      </c>
      <c r="U1155" s="211">
        <v>0</v>
      </c>
      <c r="V1155" s="213">
        <v>0</v>
      </c>
      <c r="W1155" s="213">
        <v>0</v>
      </c>
    </row>
    <row r="1156" spans="1:23" ht="15" customHeight="1">
      <c r="G1156" s="26"/>
      <c r="H1156" s="26"/>
      <c r="I1156" s="26"/>
      <c r="J1156" s="26"/>
      <c r="K1156" s="26"/>
      <c r="L1156" s="26"/>
      <c r="M1156" s="26"/>
      <c r="N1156" s="26"/>
      <c r="O1156" s="293"/>
      <c r="P1156" s="202">
        <v>1140</v>
      </c>
      <c r="Q1156" s="210">
        <v>10</v>
      </c>
      <c r="R1156" s="205" t="s">
        <v>948</v>
      </c>
      <c r="S1156" s="206" t="s">
        <v>244</v>
      </c>
      <c r="T1156" s="211">
        <v>0</v>
      </c>
      <c r="U1156" s="211">
        <v>0</v>
      </c>
      <c r="V1156" s="213">
        <v>0</v>
      </c>
      <c r="W1156" s="213">
        <v>0</v>
      </c>
    </row>
    <row r="1157" spans="1:23" s="23" customFormat="1" ht="15" customHeight="1">
      <c r="A1157" s="2" t="s">
        <v>163</v>
      </c>
      <c r="B1157" s="2" t="s">
        <v>2317</v>
      </c>
      <c r="C1157" s="3"/>
      <c r="D1157" s="323" t="s">
        <v>2122</v>
      </c>
      <c r="E1157" s="323"/>
      <c r="F1157" s="324"/>
      <c r="G1157" s="325">
        <f>SUM(G1145:G1156)</f>
        <v>63</v>
      </c>
      <c r="H1157" s="325">
        <f t="shared" ref="H1157:N1157" si="97">SUM(H1145:H1156)</f>
        <v>0</v>
      </c>
      <c r="I1157" s="325">
        <f t="shared" si="97"/>
        <v>0</v>
      </c>
      <c r="J1157" s="325">
        <f t="shared" si="97"/>
        <v>270</v>
      </c>
      <c r="K1157" s="325">
        <f t="shared" si="97"/>
        <v>1000</v>
      </c>
      <c r="L1157" s="325">
        <f t="shared" si="97"/>
        <v>535</v>
      </c>
      <c r="M1157" s="325">
        <f t="shared" si="97"/>
        <v>6450</v>
      </c>
      <c r="N1157" s="325">
        <f t="shared" si="97"/>
        <v>2000</v>
      </c>
      <c r="O1157" s="291"/>
      <c r="P1157" s="202">
        <v>1141</v>
      </c>
      <c r="Q1157" s="210">
        <v>10</v>
      </c>
      <c r="R1157" s="205" t="s">
        <v>2623</v>
      </c>
      <c r="S1157" s="206"/>
      <c r="T1157" s="211"/>
      <c r="U1157" s="211"/>
      <c r="V1157" s="213"/>
      <c r="W1157" s="213"/>
    </row>
    <row r="1158" spans="1:23" s="46" customFormat="1" ht="15" customHeight="1">
      <c r="A1158" s="2"/>
      <c r="B1158" s="2"/>
      <c r="C1158" s="3"/>
      <c r="D1158" s="47"/>
      <c r="E1158" s="47"/>
      <c r="F1158" s="191"/>
      <c r="G1158" s="48"/>
      <c r="H1158" s="48"/>
      <c r="I1158" s="48"/>
      <c r="J1158" s="48"/>
      <c r="K1158" s="48"/>
      <c r="L1158" s="48"/>
      <c r="M1158" s="48"/>
      <c r="N1158" s="48"/>
      <c r="O1158" s="289"/>
      <c r="P1158" s="202">
        <v>1142</v>
      </c>
      <c r="Q1158" s="210">
        <v>10</v>
      </c>
      <c r="R1158" s="205" t="s">
        <v>163</v>
      </c>
      <c r="S1158" s="206"/>
      <c r="T1158" s="211">
        <v>5900</v>
      </c>
      <c r="U1158" s="211">
        <v>1016.88</v>
      </c>
      <c r="V1158" s="213">
        <v>4161.9399999999996</v>
      </c>
      <c r="W1158" s="213">
        <v>0</v>
      </c>
    </row>
    <row r="1159" spans="1:23" ht="15" customHeight="1">
      <c r="D1159" s="47" t="s">
        <v>2123</v>
      </c>
      <c r="G1159" s="26"/>
      <c r="H1159" s="26"/>
      <c r="I1159" s="26"/>
      <c r="J1159" s="26"/>
      <c r="K1159" s="26"/>
      <c r="L1159" s="26"/>
      <c r="M1159" s="26"/>
      <c r="N1159" s="26"/>
      <c r="P1159" s="202">
        <v>1143</v>
      </c>
      <c r="Q1159" s="210">
        <v>10</v>
      </c>
      <c r="R1159" s="205" t="s">
        <v>245</v>
      </c>
      <c r="S1159" s="206"/>
      <c r="T1159" s="211"/>
      <c r="U1159" s="211"/>
      <c r="V1159" s="213"/>
      <c r="W1159" s="213"/>
    </row>
    <row r="1160" spans="1:23" ht="15" customHeight="1">
      <c r="G1160" s="26"/>
      <c r="H1160" s="26"/>
      <c r="I1160" s="26"/>
      <c r="J1160" s="26"/>
      <c r="K1160" s="26"/>
      <c r="L1160" s="26"/>
      <c r="M1160" s="26"/>
      <c r="N1160" s="26"/>
      <c r="P1160" s="202">
        <v>1144</v>
      </c>
      <c r="Q1160" s="210">
        <v>10</v>
      </c>
      <c r="R1160" s="205" t="s">
        <v>2628</v>
      </c>
      <c r="S1160" s="206"/>
      <c r="T1160" s="211"/>
      <c r="U1160" s="211"/>
      <c r="V1160" s="213"/>
      <c r="W1160" s="213"/>
    </row>
    <row r="1161" spans="1:23" ht="15" customHeight="1">
      <c r="C1161" s="3">
        <v>10</v>
      </c>
      <c r="D1161" s="15" t="s">
        <v>877</v>
      </c>
      <c r="E1161" s="312" t="s">
        <v>232</v>
      </c>
      <c r="G1161" s="26">
        <v>0</v>
      </c>
      <c r="H1161" s="26">
        <v>0</v>
      </c>
      <c r="I1161" s="26">
        <v>0</v>
      </c>
      <c r="J1161" s="26">
        <v>0</v>
      </c>
      <c r="K1161" s="26">
        <v>0</v>
      </c>
      <c r="L1161" s="26">
        <v>0</v>
      </c>
      <c r="M1161" s="26">
        <v>0</v>
      </c>
      <c r="N1161" s="26">
        <v>0</v>
      </c>
      <c r="O1161" s="285"/>
      <c r="P1161" s="202">
        <v>1145</v>
      </c>
      <c r="Q1161" s="210">
        <v>10</v>
      </c>
      <c r="R1161" s="205" t="s">
        <v>949</v>
      </c>
      <c r="S1161" s="206" t="s">
        <v>329</v>
      </c>
      <c r="T1161" s="211">
        <v>0</v>
      </c>
      <c r="U1161" s="211">
        <v>0</v>
      </c>
      <c r="V1161" s="213">
        <v>0</v>
      </c>
      <c r="W1161" s="213">
        <v>0</v>
      </c>
    </row>
    <row r="1162" spans="1:23" ht="15" customHeight="1">
      <c r="C1162" s="3">
        <v>10</v>
      </c>
      <c r="D1162" s="15" t="s">
        <v>878</v>
      </c>
      <c r="E1162" s="312" t="s">
        <v>329</v>
      </c>
      <c r="G1162" s="26">
        <v>0</v>
      </c>
      <c r="H1162" s="26">
        <v>0</v>
      </c>
      <c r="I1162" s="26">
        <v>0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285"/>
      <c r="P1162" s="202">
        <v>1146</v>
      </c>
      <c r="Q1162" s="210">
        <v>10</v>
      </c>
      <c r="R1162" s="205" t="s">
        <v>950</v>
      </c>
      <c r="S1162" s="206" t="s">
        <v>165</v>
      </c>
      <c r="T1162" s="211">
        <v>0</v>
      </c>
      <c r="U1162" s="211">
        <v>0</v>
      </c>
      <c r="V1162" s="213">
        <v>0</v>
      </c>
      <c r="W1162" s="213">
        <v>0</v>
      </c>
    </row>
    <row r="1163" spans="1:23" ht="15" customHeight="1">
      <c r="C1163" s="3">
        <v>10</v>
      </c>
      <c r="D1163" s="15" t="s">
        <v>879</v>
      </c>
      <c r="E1163" s="312" t="s">
        <v>165</v>
      </c>
      <c r="G1163" s="26">
        <v>0</v>
      </c>
      <c r="H1163" s="26">
        <v>0</v>
      </c>
      <c r="I1163" s="26">
        <v>0</v>
      </c>
      <c r="J1163" s="26">
        <v>0</v>
      </c>
      <c r="K1163" s="26">
        <v>0</v>
      </c>
      <c r="L1163" s="26">
        <v>0</v>
      </c>
      <c r="M1163" s="26">
        <v>0</v>
      </c>
      <c r="N1163" s="26">
        <v>0</v>
      </c>
      <c r="O1163" s="285"/>
      <c r="P1163" s="202">
        <v>1147</v>
      </c>
      <c r="Q1163" s="210">
        <v>10</v>
      </c>
      <c r="R1163" s="205" t="s">
        <v>951</v>
      </c>
      <c r="S1163" s="206" t="s">
        <v>167</v>
      </c>
      <c r="T1163" s="211">
        <v>0</v>
      </c>
      <c r="U1163" s="211">
        <v>0</v>
      </c>
      <c r="V1163" s="213">
        <v>0</v>
      </c>
      <c r="W1163" s="213">
        <v>0</v>
      </c>
    </row>
    <row r="1164" spans="1:23" ht="15" customHeight="1">
      <c r="C1164" s="3">
        <v>10</v>
      </c>
      <c r="D1164" s="15" t="s">
        <v>880</v>
      </c>
      <c r="E1164" s="312" t="s">
        <v>167</v>
      </c>
      <c r="G1164" s="26">
        <v>0</v>
      </c>
      <c r="H1164" s="26">
        <v>0</v>
      </c>
      <c r="I1164" s="26">
        <v>0</v>
      </c>
      <c r="J1164" s="26">
        <v>0</v>
      </c>
      <c r="K1164" s="26">
        <v>0</v>
      </c>
      <c r="L1164" s="26">
        <v>0</v>
      </c>
      <c r="M1164" s="26">
        <v>0</v>
      </c>
      <c r="N1164" s="26">
        <v>0</v>
      </c>
      <c r="O1164" s="285"/>
      <c r="P1164" s="202">
        <v>1148</v>
      </c>
      <c r="Q1164" s="210">
        <v>10</v>
      </c>
      <c r="R1164" s="205" t="s">
        <v>952</v>
      </c>
      <c r="S1164" s="206" t="s">
        <v>247</v>
      </c>
      <c r="T1164" s="211">
        <v>30000</v>
      </c>
      <c r="U1164" s="211">
        <v>0</v>
      </c>
      <c r="V1164" s="213">
        <v>25136.89</v>
      </c>
      <c r="W1164" s="213">
        <v>83.79</v>
      </c>
    </row>
    <row r="1165" spans="1:23" ht="15" customHeight="1">
      <c r="C1165" s="3">
        <v>10</v>
      </c>
      <c r="D1165" s="15" t="s">
        <v>881</v>
      </c>
      <c r="E1165" s="312" t="s">
        <v>247</v>
      </c>
      <c r="G1165" s="26">
        <v>0</v>
      </c>
      <c r="H1165" s="26">
        <v>0</v>
      </c>
      <c r="I1165" s="26">
        <v>0</v>
      </c>
      <c r="J1165" s="26">
        <v>0</v>
      </c>
      <c r="K1165" s="26">
        <v>4000</v>
      </c>
      <c r="L1165" s="26">
        <v>0</v>
      </c>
      <c r="M1165" s="26">
        <v>521</v>
      </c>
      <c r="N1165" s="26">
        <v>6000</v>
      </c>
      <c r="O1165" s="285" t="s">
        <v>3036</v>
      </c>
      <c r="P1165" s="202">
        <v>1149</v>
      </c>
      <c r="Q1165" s="210">
        <v>10</v>
      </c>
      <c r="R1165" s="205" t="s">
        <v>953</v>
      </c>
      <c r="S1165" s="206" t="s">
        <v>461</v>
      </c>
      <c r="T1165" s="211">
        <v>-24000</v>
      </c>
      <c r="U1165" s="211">
        <v>0</v>
      </c>
      <c r="V1165" s="213">
        <v>0</v>
      </c>
      <c r="W1165" s="213">
        <v>0</v>
      </c>
    </row>
    <row r="1166" spans="1:23" ht="15" customHeight="1">
      <c r="C1166" s="3">
        <v>10</v>
      </c>
      <c r="D1166" s="15" t="s">
        <v>882</v>
      </c>
      <c r="E1166" s="312" t="s">
        <v>244</v>
      </c>
      <c r="G1166" s="26">
        <v>0</v>
      </c>
      <c r="H1166" s="26">
        <v>0</v>
      </c>
      <c r="I1166" s="26">
        <v>0</v>
      </c>
      <c r="J1166" s="26">
        <v>0</v>
      </c>
      <c r="K1166" s="26">
        <v>0</v>
      </c>
      <c r="L1166" s="26">
        <v>0</v>
      </c>
      <c r="M1166" s="26">
        <v>0</v>
      </c>
      <c r="N1166" s="26">
        <v>0</v>
      </c>
      <c r="O1166" s="285"/>
      <c r="P1166" s="202">
        <v>1150</v>
      </c>
      <c r="Q1166" s="210">
        <v>10</v>
      </c>
      <c r="R1166" s="205" t="s">
        <v>954</v>
      </c>
      <c r="S1166" s="206" t="s">
        <v>382</v>
      </c>
      <c r="T1166" s="211">
        <v>0</v>
      </c>
      <c r="U1166" s="211">
        <v>0</v>
      </c>
      <c r="V1166" s="213">
        <v>0</v>
      </c>
      <c r="W1166" s="213">
        <v>0</v>
      </c>
    </row>
    <row r="1167" spans="1:23" ht="15" customHeight="1">
      <c r="G1167" s="26"/>
      <c r="H1167" s="26"/>
      <c r="I1167" s="26"/>
      <c r="J1167" s="26"/>
      <c r="K1167" s="26"/>
      <c r="L1167" s="26"/>
      <c r="M1167" s="26"/>
      <c r="N1167" s="26"/>
      <c r="P1167" s="202">
        <v>1151</v>
      </c>
      <c r="Q1167" s="210">
        <v>10</v>
      </c>
      <c r="R1167" s="205" t="s">
        <v>955</v>
      </c>
      <c r="S1167" s="206" t="s">
        <v>173</v>
      </c>
      <c r="T1167" s="211">
        <v>0</v>
      </c>
      <c r="U1167" s="211">
        <v>0</v>
      </c>
      <c r="V1167" s="213">
        <v>0</v>
      </c>
      <c r="W1167" s="213">
        <v>0</v>
      </c>
    </row>
    <row r="1168" spans="1:23" s="24" customFormat="1" ht="15" customHeight="1">
      <c r="A1168" s="2" t="s">
        <v>245</v>
      </c>
      <c r="B1168" s="2" t="s">
        <v>2317</v>
      </c>
      <c r="C1168" s="3"/>
      <c r="D1168" s="323" t="s">
        <v>2124</v>
      </c>
      <c r="E1168" s="323"/>
      <c r="F1168" s="324"/>
      <c r="G1168" s="325">
        <f>SUM(G1159:G1167)</f>
        <v>0</v>
      </c>
      <c r="H1168" s="325">
        <f t="shared" ref="H1168:N1168" si="98">SUM(H1159:H1167)</f>
        <v>0</v>
      </c>
      <c r="I1168" s="325">
        <f t="shared" si="98"/>
        <v>0</v>
      </c>
      <c r="J1168" s="325">
        <f t="shared" si="98"/>
        <v>0</v>
      </c>
      <c r="K1168" s="325">
        <f t="shared" si="98"/>
        <v>4000</v>
      </c>
      <c r="L1168" s="325">
        <f t="shared" si="98"/>
        <v>0</v>
      </c>
      <c r="M1168" s="325">
        <f t="shared" si="98"/>
        <v>521</v>
      </c>
      <c r="N1168" s="325">
        <f t="shared" si="98"/>
        <v>6000</v>
      </c>
      <c r="O1168" s="292"/>
      <c r="P1168" s="202">
        <v>1152</v>
      </c>
      <c r="Q1168" s="210">
        <v>10</v>
      </c>
      <c r="R1168" s="205" t="s">
        <v>956</v>
      </c>
      <c r="S1168" s="206" t="s">
        <v>244</v>
      </c>
      <c r="T1168" s="211">
        <v>0</v>
      </c>
      <c r="U1168" s="211">
        <v>0</v>
      </c>
      <c r="V1168" s="213">
        <v>0</v>
      </c>
      <c r="W1168" s="213">
        <v>0</v>
      </c>
    </row>
    <row r="1169" spans="1:23" ht="15" customHeight="1">
      <c r="G1169" s="26"/>
      <c r="H1169" s="26"/>
      <c r="I1169" s="26"/>
      <c r="J1169" s="26"/>
      <c r="K1169" s="26"/>
      <c r="L1169" s="26"/>
      <c r="M1169" s="26"/>
      <c r="N1169" s="26"/>
      <c r="P1169" s="202">
        <v>1153</v>
      </c>
      <c r="Q1169" s="210">
        <v>10</v>
      </c>
      <c r="R1169" s="205" t="s">
        <v>2623</v>
      </c>
      <c r="S1169" s="206"/>
      <c r="T1169" s="211"/>
      <c r="U1169" s="211"/>
      <c r="V1169" s="213"/>
      <c r="W1169" s="213"/>
    </row>
    <row r="1170" spans="1:23" s="43" customFormat="1" ht="15" customHeight="1" thickBot="1">
      <c r="A1170" s="2"/>
      <c r="B1170" s="2" t="s">
        <v>2317</v>
      </c>
      <c r="C1170" s="3"/>
      <c r="D1170" s="68" t="s">
        <v>2113</v>
      </c>
      <c r="E1170" s="326"/>
      <c r="F1170" s="327"/>
      <c r="G1170" s="328">
        <f>+G1168+G1157+G1143+G1127+G1107</f>
        <v>189</v>
      </c>
      <c r="H1170" s="328">
        <f t="shared" ref="H1170:N1170" si="99">+H1168+H1157+H1143+H1127+H1107</f>
        <v>3915</v>
      </c>
      <c r="I1170" s="328">
        <f t="shared" si="99"/>
        <v>12</v>
      </c>
      <c r="J1170" s="328">
        <f t="shared" si="99"/>
        <v>4619</v>
      </c>
      <c r="K1170" s="328">
        <f t="shared" si="99"/>
        <v>140941</v>
      </c>
      <c r="L1170" s="328">
        <f t="shared" si="99"/>
        <v>3414</v>
      </c>
      <c r="M1170" s="328">
        <f t="shared" si="99"/>
        <v>90942.5</v>
      </c>
      <c r="N1170" s="328">
        <f t="shared" si="99"/>
        <v>88103</v>
      </c>
      <c r="O1170" s="288"/>
      <c r="P1170" s="202">
        <v>1154</v>
      </c>
      <c r="Q1170" s="210">
        <v>10</v>
      </c>
      <c r="R1170" s="205" t="s">
        <v>245</v>
      </c>
      <c r="S1170" s="206"/>
      <c r="T1170" s="211">
        <v>6000</v>
      </c>
      <c r="U1170" s="211">
        <v>0</v>
      </c>
      <c r="V1170" s="213">
        <v>25136.89</v>
      </c>
      <c r="W1170" s="213">
        <v>0</v>
      </c>
    </row>
    <row r="1171" spans="1:23" s="45" customFormat="1" ht="15" customHeight="1" thickTop="1">
      <c r="A1171" s="2"/>
      <c r="B1171" s="2"/>
      <c r="C1171" s="3"/>
      <c r="D1171" s="47"/>
      <c r="E1171" s="15"/>
      <c r="F1171" s="105"/>
      <c r="G1171" s="26"/>
      <c r="H1171" s="26"/>
      <c r="I1171" s="26"/>
      <c r="J1171" s="26"/>
      <c r="K1171" s="26"/>
      <c r="L1171" s="26"/>
      <c r="M1171" s="26"/>
      <c r="N1171" s="26"/>
      <c r="O1171" s="275"/>
      <c r="P1171" s="202">
        <v>1155</v>
      </c>
      <c r="Q1171" s="210">
        <v>10</v>
      </c>
      <c r="R1171" s="205" t="s">
        <v>2623</v>
      </c>
      <c r="S1171" s="206"/>
      <c r="T1171" s="211"/>
      <c r="U1171" s="211"/>
      <c r="V1171" s="213"/>
      <c r="W1171" s="213"/>
    </row>
    <row r="1172" spans="1:23" s="45" customFormat="1" ht="15" customHeight="1">
      <c r="A1172" s="2"/>
      <c r="B1172" s="2"/>
      <c r="C1172" s="3"/>
      <c r="D1172" s="47" t="s">
        <v>12</v>
      </c>
      <c r="E1172" s="15"/>
      <c r="F1172" s="105"/>
      <c r="G1172" s="26"/>
      <c r="H1172" s="26"/>
      <c r="I1172" s="26"/>
      <c r="J1172" s="26"/>
      <c r="K1172" s="26"/>
      <c r="L1172" s="26"/>
      <c r="M1172" s="26"/>
      <c r="N1172" s="26"/>
      <c r="O1172" s="275"/>
      <c r="P1172" s="202">
        <v>1156</v>
      </c>
      <c r="Q1172" s="210">
        <v>10</v>
      </c>
      <c r="R1172" s="205" t="s">
        <v>12</v>
      </c>
      <c r="S1172" s="206"/>
      <c r="T1172" s="211">
        <v>729388</v>
      </c>
      <c r="U1172" s="211">
        <v>54779.75</v>
      </c>
      <c r="V1172" s="213">
        <v>534771.93000000005</v>
      </c>
      <c r="W1172" s="213">
        <v>73.319999999999993</v>
      </c>
    </row>
    <row r="1173" spans="1:23" s="45" customFormat="1" ht="15" customHeight="1">
      <c r="A1173" s="2"/>
      <c r="B1173" s="2"/>
      <c r="C1173" s="3"/>
      <c r="D1173" s="47"/>
      <c r="E1173" s="15"/>
      <c r="F1173" s="105"/>
      <c r="G1173" s="26"/>
      <c r="H1173" s="26"/>
      <c r="I1173" s="26"/>
      <c r="J1173" s="26"/>
      <c r="K1173" s="26"/>
      <c r="L1173" s="26"/>
      <c r="M1173" s="26"/>
      <c r="N1173" s="26"/>
      <c r="O1173" s="275"/>
      <c r="P1173" s="202">
        <v>1157</v>
      </c>
      <c r="Q1173" s="210">
        <v>10</v>
      </c>
      <c r="R1173" s="205" t="s">
        <v>2621</v>
      </c>
      <c r="S1173" s="206"/>
      <c r="T1173" s="211"/>
      <c r="U1173" s="211"/>
      <c r="V1173" s="213"/>
      <c r="W1173" s="213"/>
    </row>
    <row r="1174" spans="1:23" s="5" customFormat="1" ht="15" customHeight="1">
      <c r="A1174" s="2"/>
      <c r="B1174" s="2"/>
      <c r="C1174" s="3"/>
      <c r="D1174" s="47" t="s">
        <v>2125</v>
      </c>
      <c r="E1174" s="15"/>
      <c r="F1174" s="105"/>
      <c r="G1174" s="26"/>
      <c r="H1174" s="26"/>
      <c r="I1174" s="26"/>
      <c r="J1174" s="26"/>
      <c r="K1174" s="26"/>
      <c r="L1174" s="26"/>
      <c r="M1174" s="26"/>
      <c r="N1174" s="26"/>
      <c r="O1174" s="282"/>
      <c r="P1174" s="202">
        <v>1158</v>
      </c>
      <c r="Q1174" s="210">
        <v>10</v>
      </c>
      <c r="R1174" s="205" t="s">
        <v>2622</v>
      </c>
      <c r="S1174" s="206"/>
      <c r="T1174" s="211"/>
      <c r="U1174" s="211"/>
      <c r="V1174" s="213"/>
      <c r="W1174" s="213"/>
    </row>
    <row r="1175" spans="1:23" ht="15" customHeight="1">
      <c r="G1175" s="26"/>
      <c r="H1175" s="26"/>
      <c r="I1175" s="26"/>
      <c r="J1175" s="26"/>
      <c r="K1175" s="26"/>
      <c r="L1175" s="26"/>
      <c r="M1175" s="26"/>
      <c r="N1175" s="26"/>
      <c r="P1175" s="202">
        <v>1159</v>
      </c>
      <c r="Q1175" s="210">
        <v>10</v>
      </c>
      <c r="R1175" s="205" t="s">
        <v>957</v>
      </c>
      <c r="S1175" s="206" t="s">
        <v>79</v>
      </c>
      <c r="T1175" s="211">
        <v>91339</v>
      </c>
      <c r="U1175" s="211">
        <v>5938</v>
      </c>
      <c r="V1175" s="213">
        <v>46965</v>
      </c>
      <c r="W1175" s="213">
        <v>51.42</v>
      </c>
    </row>
    <row r="1176" spans="1:23" ht="15" customHeight="1">
      <c r="C1176" s="3">
        <v>10</v>
      </c>
      <c r="D1176" s="15" t="s">
        <v>883</v>
      </c>
      <c r="E1176" s="312" t="s">
        <v>79</v>
      </c>
      <c r="G1176" s="26">
        <v>228846</v>
      </c>
      <c r="H1176" s="26">
        <v>230885</v>
      </c>
      <c r="I1176" s="26">
        <v>277794</v>
      </c>
      <c r="J1176" s="26">
        <v>272622</v>
      </c>
      <c r="K1176" s="26">
        <v>284880</v>
      </c>
      <c r="L1176" s="26">
        <v>161924</v>
      </c>
      <c r="M1176" s="26">
        <f>205864*1.33</f>
        <v>273799.12</v>
      </c>
      <c r="N1176" s="26">
        <f>M1176+24000</f>
        <v>297799.12</v>
      </c>
      <c r="O1176" s="275" t="s">
        <v>3030</v>
      </c>
      <c r="P1176" s="202">
        <v>1160</v>
      </c>
      <c r="Q1176" s="210">
        <v>10</v>
      </c>
      <c r="R1176" s="205" t="s">
        <v>958</v>
      </c>
      <c r="S1176" s="206" t="s">
        <v>81</v>
      </c>
      <c r="T1176" s="211">
        <v>19997</v>
      </c>
      <c r="U1176" s="211">
        <v>1426.15</v>
      </c>
      <c r="V1176" s="213">
        <v>11165.28</v>
      </c>
      <c r="W1176" s="213">
        <v>55.83</v>
      </c>
    </row>
    <row r="1177" spans="1:23" ht="15" customHeight="1">
      <c r="C1177" s="3">
        <v>10</v>
      </c>
      <c r="D1177" s="15" t="s">
        <v>884</v>
      </c>
      <c r="E1177" s="312" t="s">
        <v>81</v>
      </c>
      <c r="G1177" s="26">
        <v>46438</v>
      </c>
      <c r="H1177" s="26">
        <v>42843</v>
      </c>
      <c r="I1177" s="26">
        <v>54878</v>
      </c>
      <c r="J1177" s="26">
        <v>55335</v>
      </c>
      <c r="K1177" s="26">
        <v>53272</v>
      </c>
      <c r="L1177" s="26">
        <v>31057</v>
      </c>
      <c r="M1177" s="26">
        <f>39283*1.33</f>
        <v>52246.39</v>
      </c>
      <c r="N1177" s="26">
        <v>46613</v>
      </c>
      <c r="P1177" s="202">
        <v>1161</v>
      </c>
      <c r="Q1177" s="210">
        <v>10</v>
      </c>
      <c r="R1177" s="205" t="s">
        <v>959</v>
      </c>
      <c r="S1177" s="206" t="s">
        <v>83</v>
      </c>
      <c r="T1177" s="211">
        <v>0</v>
      </c>
      <c r="U1177" s="211">
        <v>0</v>
      </c>
      <c r="V1177" s="213">
        <v>0</v>
      </c>
      <c r="W1177" s="213">
        <v>0</v>
      </c>
    </row>
    <row r="1178" spans="1:23" ht="15" customHeight="1">
      <c r="C1178" s="3">
        <v>10</v>
      </c>
      <c r="D1178" s="15" t="s">
        <v>885</v>
      </c>
      <c r="E1178" s="312" t="s">
        <v>83</v>
      </c>
      <c r="G1178" s="26">
        <v>0</v>
      </c>
      <c r="H1178" s="26">
        <v>348</v>
      </c>
      <c r="I1178" s="26">
        <v>38</v>
      </c>
      <c r="J1178" s="26">
        <v>0</v>
      </c>
      <c r="K1178" s="26">
        <v>39</v>
      </c>
      <c r="L1178" s="26">
        <v>0</v>
      </c>
      <c r="M1178" s="26">
        <v>0</v>
      </c>
      <c r="N1178" s="26">
        <v>0</v>
      </c>
      <c r="P1178" s="202">
        <v>1162</v>
      </c>
      <c r="Q1178" s="210">
        <v>10</v>
      </c>
      <c r="R1178" s="205" t="s">
        <v>960</v>
      </c>
      <c r="S1178" s="206" t="s">
        <v>85</v>
      </c>
      <c r="T1178" s="211">
        <v>612</v>
      </c>
      <c r="U1178" s="211">
        <v>0</v>
      </c>
      <c r="V1178" s="213">
        <v>720.43</v>
      </c>
      <c r="W1178" s="213">
        <v>117.72</v>
      </c>
    </row>
    <row r="1179" spans="1:23" ht="15" customHeight="1">
      <c r="C1179" s="3">
        <v>10</v>
      </c>
      <c r="D1179" s="15" t="s">
        <v>886</v>
      </c>
      <c r="E1179" s="312" t="s">
        <v>85</v>
      </c>
      <c r="G1179" s="26">
        <v>731</v>
      </c>
      <c r="H1179" s="26">
        <v>54</v>
      </c>
      <c r="I1179" s="26">
        <v>1323</v>
      </c>
      <c r="J1179" s="26">
        <v>693</v>
      </c>
      <c r="K1179" s="26">
        <v>1774</v>
      </c>
      <c r="L1179" s="26">
        <v>1841</v>
      </c>
      <c r="M1179" s="26">
        <f>1841*1.33</f>
        <v>2448.5300000000002</v>
      </c>
      <c r="N1179" s="26">
        <v>2500</v>
      </c>
      <c r="P1179" s="202">
        <v>1163</v>
      </c>
      <c r="Q1179" s="210">
        <v>10</v>
      </c>
      <c r="R1179" s="205" t="s">
        <v>961</v>
      </c>
      <c r="S1179" s="206" t="s">
        <v>87</v>
      </c>
      <c r="T1179" s="211">
        <v>7005</v>
      </c>
      <c r="U1179" s="211">
        <v>522.23</v>
      </c>
      <c r="V1179" s="213">
        <v>3777.12</v>
      </c>
      <c r="W1179" s="213">
        <v>53.92</v>
      </c>
    </row>
    <row r="1180" spans="1:23" ht="15" customHeight="1">
      <c r="C1180" s="3">
        <v>10</v>
      </c>
      <c r="D1180" s="15" t="s">
        <v>887</v>
      </c>
      <c r="E1180" s="312" t="s">
        <v>87</v>
      </c>
      <c r="G1180" s="26">
        <v>22105</v>
      </c>
      <c r="H1180" s="26">
        <v>23883</v>
      </c>
      <c r="I1180" s="26">
        <v>26408</v>
      </c>
      <c r="J1180" s="26">
        <v>26278</v>
      </c>
      <c r="K1180" s="26">
        <v>21937</v>
      </c>
      <c r="L1180" s="26">
        <v>16194</v>
      </c>
      <c r="M1180" s="26">
        <v>21289</v>
      </c>
      <c r="N1180" s="26">
        <v>21289</v>
      </c>
      <c r="P1180" s="202">
        <v>1164</v>
      </c>
      <c r="Q1180" s="210">
        <v>10</v>
      </c>
      <c r="R1180" s="205" t="s">
        <v>962</v>
      </c>
      <c r="S1180" s="206" t="s">
        <v>89</v>
      </c>
      <c r="T1180" s="211">
        <v>14669</v>
      </c>
      <c r="U1180" s="211">
        <v>1092.24</v>
      </c>
      <c r="V1180" s="213">
        <v>8151.54</v>
      </c>
      <c r="W1180" s="213">
        <v>55.57</v>
      </c>
    </row>
    <row r="1181" spans="1:23" ht="15" customHeight="1">
      <c r="C1181" s="3">
        <v>10</v>
      </c>
      <c r="D1181" s="15" t="s">
        <v>888</v>
      </c>
      <c r="E1181" s="312" t="s">
        <v>89</v>
      </c>
      <c r="G1181" s="26">
        <v>42421</v>
      </c>
      <c r="H1181" s="26">
        <v>47089</v>
      </c>
      <c r="I1181" s="26">
        <v>54733</v>
      </c>
      <c r="J1181" s="26">
        <v>56906</v>
      </c>
      <c r="K1181" s="26">
        <v>45752</v>
      </c>
      <c r="L1181" s="26">
        <v>35423</v>
      </c>
      <c r="M1181" s="26">
        <v>55000</v>
      </c>
      <c r="N1181" s="26">
        <v>60751</v>
      </c>
      <c r="P1181" s="202">
        <v>1165</v>
      </c>
      <c r="Q1181" s="210">
        <v>10</v>
      </c>
      <c r="R1181" s="205" t="s">
        <v>963</v>
      </c>
      <c r="S1181" s="206" t="s">
        <v>91</v>
      </c>
      <c r="T1181" s="211">
        <v>0</v>
      </c>
      <c r="U1181" s="211">
        <v>721.98</v>
      </c>
      <c r="V1181" s="213">
        <v>2535.86</v>
      </c>
      <c r="W1181" s="213">
        <v>0</v>
      </c>
    </row>
    <row r="1182" spans="1:23" ht="15" customHeight="1">
      <c r="C1182" s="3">
        <v>10</v>
      </c>
      <c r="D1182" s="15" t="s">
        <v>889</v>
      </c>
      <c r="E1182" s="312" t="s">
        <v>91</v>
      </c>
      <c r="G1182" s="26">
        <v>61762</v>
      </c>
      <c r="H1182" s="26">
        <v>80904</v>
      </c>
      <c r="I1182" s="26">
        <v>72381</v>
      </c>
      <c r="J1182" s="26">
        <v>72939</v>
      </c>
      <c r="K1182" s="26">
        <v>65000</v>
      </c>
      <c r="L1182" s="26">
        <v>40017</v>
      </c>
      <c r="M1182" s="26">
        <v>70000</v>
      </c>
      <c r="N1182" s="26">
        <v>65000</v>
      </c>
      <c r="P1182" s="202">
        <v>1166</v>
      </c>
      <c r="Q1182" s="210">
        <v>10</v>
      </c>
      <c r="R1182" s="205" t="s">
        <v>964</v>
      </c>
      <c r="S1182" s="206" t="s">
        <v>93</v>
      </c>
      <c r="T1182" s="211">
        <v>6000</v>
      </c>
      <c r="U1182" s="211">
        <v>476</v>
      </c>
      <c r="V1182" s="213">
        <v>2126</v>
      </c>
      <c r="W1182" s="213">
        <v>35.43</v>
      </c>
    </row>
    <row r="1183" spans="1:23" ht="15" customHeight="1">
      <c r="C1183" s="3">
        <v>10</v>
      </c>
      <c r="D1183" s="15" t="s">
        <v>890</v>
      </c>
      <c r="E1183" s="312" t="s">
        <v>93</v>
      </c>
      <c r="G1183" s="26">
        <v>204</v>
      </c>
      <c r="H1183" s="26">
        <v>0</v>
      </c>
      <c r="I1183" s="26">
        <v>0</v>
      </c>
      <c r="J1183" s="26">
        <v>2230</v>
      </c>
      <c r="K1183" s="26">
        <v>2500</v>
      </c>
      <c r="L1183" s="26">
        <v>2299</v>
      </c>
      <c r="M1183" s="26">
        <f>2722*1.33</f>
        <v>3620.26</v>
      </c>
      <c r="N1183" s="26">
        <v>3600</v>
      </c>
      <c r="P1183" s="202">
        <v>1167</v>
      </c>
      <c r="Q1183" s="210">
        <v>10</v>
      </c>
      <c r="R1183" s="205" t="s">
        <v>965</v>
      </c>
      <c r="S1183" s="206" t="s">
        <v>95</v>
      </c>
      <c r="T1183" s="211">
        <v>0</v>
      </c>
      <c r="U1183" s="211">
        <v>0</v>
      </c>
      <c r="V1183" s="213">
        <v>0</v>
      </c>
      <c r="W1183" s="213">
        <v>0</v>
      </c>
    </row>
    <row r="1184" spans="1:23" ht="15" customHeight="1">
      <c r="C1184" s="3">
        <v>10</v>
      </c>
      <c r="D1184" s="15" t="s">
        <v>891</v>
      </c>
      <c r="E1184" s="312" t="s">
        <v>95</v>
      </c>
      <c r="G1184" s="26">
        <v>3675</v>
      </c>
      <c r="H1184" s="26">
        <v>10771</v>
      </c>
      <c r="I1184" s="26">
        <v>6894</v>
      </c>
      <c r="J1184" s="26">
        <v>5856</v>
      </c>
      <c r="K1184" s="26">
        <v>48900</v>
      </c>
      <c r="L1184" s="26">
        <v>12100</v>
      </c>
      <c r="M1184" s="26">
        <v>17000</v>
      </c>
      <c r="N1184" s="26">
        <v>7800</v>
      </c>
      <c r="O1184" s="275" t="s">
        <v>3031</v>
      </c>
      <c r="P1184" s="202">
        <v>1168</v>
      </c>
      <c r="Q1184" s="210">
        <v>10</v>
      </c>
      <c r="R1184" s="205" t="s">
        <v>966</v>
      </c>
      <c r="S1184" s="206" t="s">
        <v>97</v>
      </c>
      <c r="T1184" s="211">
        <v>386</v>
      </c>
      <c r="U1184" s="211">
        <v>45</v>
      </c>
      <c r="V1184" s="213">
        <v>316</v>
      </c>
      <c r="W1184" s="213">
        <v>81.87</v>
      </c>
    </row>
    <row r="1185" spans="1:23" ht="15" customHeight="1">
      <c r="C1185" s="3">
        <v>10</v>
      </c>
      <c r="D1185" s="15" t="s">
        <v>892</v>
      </c>
      <c r="E1185" s="312" t="s">
        <v>97</v>
      </c>
      <c r="G1185" s="26">
        <v>4502</v>
      </c>
      <c r="H1185" s="26">
        <v>3938</v>
      </c>
      <c r="I1185" s="26">
        <v>4297</v>
      </c>
      <c r="J1185" s="26">
        <v>3625</v>
      </c>
      <c r="K1185" s="26">
        <v>3640</v>
      </c>
      <c r="L1185" s="26">
        <v>2267</v>
      </c>
      <c r="M1185" s="26">
        <f>2933*1.33</f>
        <v>3900.8900000000003</v>
      </c>
      <c r="N1185" s="26">
        <v>3229</v>
      </c>
      <c r="P1185" s="202">
        <v>1169</v>
      </c>
      <c r="Q1185" s="210">
        <v>10</v>
      </c>
      <c r="R1185" s="205" t="s">
        <v>967</v>
      </c>
      <c r="S1185" s="206" t="s">
        <v>99</v>
      </c>
      <c r="T1185" s="211">
        <v>177</v>
      </c>
      <c r="U1185" s="211">
        <v>0</v>
      </c>
      <c r="V1185" s="213">
        <v>143.1</v>
      </c>
      <c r="W1185" s="213">
        <v>80.849999999999994</v>
      </c>
    </row>
    <row r="1186" spans="1:23" ht="15" customHeight="1">
      <c r="C1186" s="3">
        <v>10</v>
      </c>
      <c r="D1186" s="15" t="s">
        <v>893</v>
      </c>
      <c r="E1186" s="312" t="s">
        <v>99</v>
      </c>
      <c r="G1186" s="26">
        <v>469</v>
      </c>
      <c r="H1186" s="26">
        <v>381</v>
      </c>
      <c r="I1186" s="26">
        <v>439</v>
      </c>
      <c r="J1186" s="26">
        <v>410</v>
      </c>
      <c r="K1186" s="26">
        <v>471</v>
      </c>
      <c r="L1186" s="26">
        <v>458</v>
      </c>
      <c r="M1186" s="26">
        <f>457*1.33</f>
        <v>607.81000000000006</v>
      </c>
      <c r="N1186" s="26">
        <v>608</v>
      </c>
      <c r="P1186" s="202">
        <v>1170</v>
      </c>
      <c r="Q1186" s="210">
        <v>10</v>
      </c>
      <c r="R1186" s="205" t="s">
        <v>968</v>
      </c>
      <c r="S1186" s="206" t="s">
        <v>101</v>
      </c>
      <c r="T1186" s="211">
        <v>0</v>
      </c>
      <c r="U1186" s="211">
        <v>0</v>
      </c>
      <c r="V1186" s="213">
        <v>0</v>
      </c>
      <c r="W1186" s="213">
        <v>0</v>
      </c>
    </row>
    <row r="1187" spans="1:23" ht="15" customHeight="1">
      <c r="C1187" s="3">
        <v>10</v>
      </c>
      <c r="D1187" s="15" t="s">
        <v>894</v>
      </c>
      <c r="E1187" s="312" t="s">
        <v>101</v>
      </c>
      <c r="G1187" s="26">
        <v>0</v>
      </c>
      <c r="H1187" s="26">
        <v>0</v>
      </c>
      <c r="I1187" s="26">
        <v>0</v>
      </c>
      <c r="J1187" s="26">
        <v>0</v>
      </c>
      <c r="K1187" s="26">
        <v>0</v>
      </c>
      <c r="L1187" s="26">
        <v>0</v>
      </c>
      <c r="M1187" s="26">
        <v>0</v>
      </c>
      <c r="N1187" s="26">
        <v>0</v>
      </c>
      <c r="P1187" s="202">
        <v>1171</v>
      </c>
      <c r="Q1187" s="210">
        <v>10</v>
      </c>
      <c r="R1187" s="205" t="s">
        <v>969</v>
      </c>
      <c r="S1187" s="206" t="s">
        <v>103</v>
      </c>
      <c r="T1187" s="211">
        <v>0</v>
      </c>
      <c r="U1187" s="211">
        <v>0</v>
      </c>
      <c r="V1187" s="213">
        <v>0</v>
      </c>
      <c r="W1187" s="213">
        <v>0</v>
      </c>
    </row>
    <row r="1188" spans="1:23" ht="15" customHeight="1">
      <c r="C1188" s="3">
        <v>10</v>
      </c>
      <c r="D1188" s="15" t="s">
        <v>895</v>
      </c>
      <c r="E1188" s="312" t="s">
        <v>103</v>
      </c>
      <c r="G1188" s="26">
        <v>0</v>
      </c>
      <c r="H1188" s="26">
        <v>0</v>
      </c>
      <c r="I1188" s="26">
        <v>0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P1188" s="202">
        <v>1172</v>
      </c>
      <c r="Q1188" s="210">
        <v>10</v>
      </c>
      <c r="R1188" s="205" t="s">
        <v>2623</v>
      </c>
      <c r="S1188" s="206"/>
      <c r="T1188" s="211"/>
      <c r="U1188" s="211"/>
      <c r="V1188" s="213"/>
      <c r="W1188" s="213"/>
    </row>
    <row r="1189" spans="1:23" ht="15" customHeight="1">
      <c r="G1189" s="26"/>
      <c r="H1189" s="26"/>
      <c r="I1189" s="26"/>
      <c r="J1189" s="26"/>
      <c r="K1189" s="26"/>
      <c r="L1189" s="26"/>
      <c r="M1189" s="26"/>
      <c r="N1189" s="26"/>
      <c r="P1189" s="202">
        <v>1173</v>
      </c>
      <c r="Q1189" s="210">
        <v>10</v>
      </c>
      <c r="R1189" s="205" t="s">
        <v>2621</v>
      </c>
      <c r="S1189" s="206"/>
      <c r="T1189" s="211">
        <v>140185</v>
      </c>
      <c r="U1189" s="211">
        <v>10221.6</v>
      </c>
      <c r="V1189" s="213">
        <v>75900.33</v>
      </c>
      <c r="W1189" s="213">
        <v>0</v>
      </c>
    </row>
    <row r="1190" spans="1:23" s="72" customFormat="1" ht="15" customHeight="1">
      <c r="A1190" s="5" t="s">
        <v>2410</v>
      </c>
      <c r="B1190" s="5" t="s">
        <v>2317</v>
      </c>
      <c r="C1190" s="3"/>
      <c r="D1190" s="323" t="s">
        <v>2126</v>
      </c>
      <c r="E1190" s="323"/>
      <c r="F1190" s="324"/>
      <c r="G1190" s="325">
        <f>SUM(G1174:G1189)</f>
        <v>411153</v>
      </c>
      <c r="H1190" s="325">
        <f t="shared" ref="H1190:N1190" si="100">SUM(H1174:H1189)</f>
        <v>441096</v>
      </c>
      <c r="I1190" s="325">
        <f t="shared" si="100"/>
        <v>499185</v>
      </c>
      <c r="J1190" s="325">
        <f t="shared" si="100"/>
        <v>496894</v>
      </c>
      <c r="K1190" s="325">
        <f t="shared" si="100"/>
        <v>528165</v>
      </c>
      <c r="L1190" s="325">
        <f t="shared" si="100"/>
        <v>303580</v>
      </c>
      <c r="M1190" s="325">
        <f t="shared" si="100"/>
        <v>499912.00000000006</v>
      </c>
      <c r="N1190" s="325">
        <f t="shared" si="100"/>
        <v>509189.12</v>
      </c>
      <c r="O1190" s="286"/>
      <c r="P1190" s="202">
        <v>1174</v>
      </c>
      <c r="Q1190" s="210">
        <v>10</v>
      </c>
      <c r="R1190" s="205" t="s">
        <v>104</v>
      </c>
      <c r="S1190" s="206"/>
      <c r="T1190" s="211"/>
      <c r="U1190" s="211"/>
      <c r="V1190" s="213"/>
      <c r="W1190" s="213"/>
    </row>
    <row r="1191" spans="1:23" s="46" customFormat="1" ht="15" customHeight="1">
      <c r="A1191" s="2"/>
      <c r="B1191" s="2"/>
      <c r="C1191" s="3"/>
      <c r="D1191" s="47"/>
      <c r="E1191" s="47"/>
      <c r="F1191" s="191"/>
      <c r="G1191" s="48"/>
      <c r="H1191" s="48"/>
      <c r="I1191" s="48"/>
      <c r="J1191" s="48"/>
      <c r="K1191" s="48"/>
      <c r="L1191" s="48"/>
      <c r="M1191" s="48"/>
      <c r="N1191" s="48"/>
      <c r="O1191" s="289"/>
      <c r="P1191" s="202">
        <v>1175</v>
      </c>
      <c r="Q1191" s="210">
        <v>10</v>
      </c>
      <c r="R1191" s="205" t="s">
        <v>2624</v>
      </c>
      <c r="S1191" s="206"/>
      <c r="T1191" s="211"/>
      <c r="U1191" s="211"/>
      <c r="V1191" s="213"/>
      <c r="W1191" s="213"/>
    </row>
    <row r="1192" spans="1:23" ht="15" customHeight="1">
      <c r="D1192" s="47" t="s">
        <v>2127</v>
      </c>
      <c r="G1192" s="26"/>
      <c r="H1192" s="26"/>
      <c r="I1192" s="26"/>
      <c r="J1192" s="26"/>
      <c r="K1192" s="26"/>
      <c r="L1192" s="26"/>
      <c r="M1192" s="26"/>
      <c r="N1192" s="26"/>
      <c r="P1192" s="202">
        <v>1176</v>
      </c>
      <c r="Q1192" s="210">
        <v>10</v>
      </c>
      <c r="R1192" s="205" t="s">
        <v>970</v>
      </c>
      <c r="S1192" s="206" t="s">
        <v>115</v>
      </c>
      <c r="T1192" s="211">
        <v>275</v>
      </c>
      <c r="U1192" s="211">
        <v>6.97</v>
      </c>
      <c r="V1192" s="213">
        <v>240.02</v>
      </c>
      <c r="W1192" s="213">
        <v>87.28</v>
      </c>
    </row>
    <row r="1193" spans="1:23" ht="15" customHeight="1">
      <c r="G1193" s="26"/>
      <c r="H1193" s="26"/>
      <c r="I1193" s="26"/>
      <c r="J1193" s="26"/>
      <c r="K1193" s="26"/>
      <c r="L1193" s="26"/>
      <c r="M1193" s="26"/>
      <c r="N1193" s="26"/>
      <c r="P1193" s="202">
        <v>1177</v>
      </c>
      <c r="Q1193" s="210">
        <v>10</v>
      </c>
      <c r="R1193" s="205" t="s">
        <v>971</v>
      </c>
      <c r="S1193" s="206" t="s">
        <v>117</v>
      </c>
      <c r="T1193" s="211">
        <v>0</v>
      </c>
      <c r="U1193" s="211">
        <v>20.6</v>
      </c>
      <c r="V1193" s="213">
        <v>26.86</v>
      </c>
      <c r="W1193" s="213">
        <v>0</v>
      </c>
    </row>
    <row r="1194" spans="1:23" ht="15" customHeight="1">
      <c r="C1194" s="3">
        <v>10</v>
      </c>
      <c r="D1194" s="15" t="s">
        <v>896</v>
      </c>
      <c r="E1194" s="312" t="s">
        <v>115</v>
      </c>
      <c r="G1194" s="26">
        <v>0</v>
      </c>
      <c r="H1194" s="26">
        <v>1346</v>
      </c>
      <c r="I1194" s="26">
        <v>1163</v>
      </c>
      <c r="J1194" s="26">
        <v>966</v>
      </c>
      <c r="K1194" s="26">
        <v>1100</v>
      </c>
      <c r="L1194" s="26">
        <v>399</v>
      </c>
      <c r="M1194" s="26">
        <v>1100</v>
      </c>
      <c r="N1194" s="26">
        <v>1100</v>
      </c>
      <c r="O1194" s="285"/>
      <c r="P1194" s="202">
        <v>1178</v>
      </c>
      <c r="Q1194" s="210">
        <v>10</v>
      </c>
      <c r="R1194" s="205" t="s">
        <v>972</v>
      </c>
      <c r="S1194" s="206" t="s">
        <v>119</v>
      </c>
      <c r="T1194" s="211">
        <v>30</v>
      </c>
      <c r="U1194" s="211">
        <v>0</v>
      </c>
      <c r="V1194" s="213">
        <v>10.89</v>
      </c>
      <c r="W1194" s="213">
        <v>36.299999999999997</v>
      </c>
    </row>
    <row r="1195" spans="1:23" ht="15" customHeight="1">
      <c r="C1195" s="3">
        <v>10</v>
      </c>
      <c r="D1195" s="15" t="s">
        <v>897</v>
      </c>
      <c r="E1195" s="312" t="s">
        <v>117</v>
      </c>
      <c r="G1195" s="26">
        <v>0</v>
      </c>
      <c r="H1195" s="26">
        <v>0</v>
      </c>
      <c r="I1195" s="26">
        <v>0</v>
      </c>
      <c r="J1195" s="26">
        <v>0</v>
      </c>
      <c r="K1195" s="26">
        <v>0</v>
      </c>
      <c r="L1195" s="26">
        <v>21</v>
      </c>
      <c r="M1195" s="26">
        <v>25</v>
      </c>
      <c r="N1195" s="26">
        <v>25</v>
      </c>
      <c r="O1195" s="285"/>
      <c r="P1195" s="202">
        <v>1179</v>
      </c>
      <c r="Q1195" s="210">
        <v>10</v>
      </c>
      <c r="R1195" s="205" t="s">
        <v>973</v>
      </c>
      <c r="S1195" s="206" t="s">
        <v>121</v>
      </c>
      <c r="T1195" s="211">
        <v>195</v>
      </c>
      <c r="U1195" s="211">
        <v>0</v>
      </c>
      <c r="V1195" s="213">
        <v>0</v>
      </c>
      <c r="W1195" s="213">
        <v>0</v>
      </c>
    </row>
    <row r="1196" spans="1:23" ht="15" customHeight="1">
      <c r="C1196" s="3">
        <v>10</v>
      </c>
      <c r="D1196" s="15" t="s">
        <v>898</v>
      </c>
      <c r="E1196" s="312" t="s">
        <v>119</v>
      </c>
      <c r="G1196" s="26">
        <v>79</v>
      </c>
      <c r="H1196" s="26">
        <v>93</v>
      </c>
      <c r="I1196" s="26">
        <v>60</v>
      </c>
      <c r="J1196" s="26">
        <v>130</v>
      </c>
      <c r="K1196" s="26">
        <v>80</v>
      </c>
      <c r="L1196" s="26">
        <v>86</v>
      </c>
      <c r="M1196" s="26">
        <v>175</v>
      </c>
      <c r="N1196" s="26">
        <v>150</v>
      </c>
      <c r="O1196" s="285"/>
      <c r="P1196" s="202">
        <v>1180</v>
      </c>
      <c r="Q1196" s="210">
        <v>10</v>
      </c>
      <c r="R1196" s="205" t="s">
        <v>974</v>
      </c>
      <c r="S1196" s="206" t="s">
        <v>123</v>
      </c>
      <c r="T1196" s="211">
        <v>0</v>
      </c>
      <c r="U1196" s="211">
        <v>0</v>
      </c>
      <c r="V1196" s="213">
        <v>0</v>
      </c>
      <c r="W1196" s="213">
        <v>0</v>
      </c>
    </row>
    <row r="1197" spans="1:23" ht="15" customHeight="1">
      <c r="C1197" s="3">
        <v>10</v>
      </c>
      <c r="D1197" s="15" t="s">
        <v>899</v>
      </c>
      <c r="E1197" s="312" t="s">
        <v>121</v>
      </c>
      <c r="G1197" s="26">
        <v>29</v>
      </c>
      <c r="H1197" s="26">
        <v>0</v>
      </c>
      <c r="I1197" s="26">
        <v>46</v>
      </c>
      <c r="J1197" s="26">
        <v>15</v>
      </c>
      <c r="K1197" s="26">
        <v>100</v>
      </c>
      <c r="L1197" s="26">
        <v>0</v>
      </c>
      <c r="M1197" s="26">
        <v>100</v>
      </c>
      <c r="N1197" s="26">
        <v>100</v>
      </c>
      <c r="O1197" s="285"/>
      <c r="P1197" s="202">
        <v>1181</v>
      </c>
      <c r="Q1197" s="210">
        <v>10</v>
      </c>
      <c r="R1197" s="205" t="s">
        <v>975</v>
      </c>
      <c r="S1197" s="206" t="s">
        <v>125</v>
      </c>
      <c r="T1197" s="211">
        <v>25</v>
      </c>
      <c r="U1197" s="211">
        <v>0</v>
      </c>
      <c r="V1197" s="213">
        <v>0</v>
      </c>
      <c r="W1197" s="213">
        <v>0</v>
      </c>
    </row>
    <row r="1198" spans="1:23" ht="15" customHeight="1">
      <c r="C1198" s="3">
        <v>10</v>
      </c>
      <c r="D1198" s="15" t="s">
        <v>900</v>
      </c>
      <c r="E1198" s="312" t="s">
        <v>123</v>
      </c>
      <c r="G1198" s="26">
        <v>0</v>
      </c>
      <c r="H1198" s="26">
        <v>254</v>
      </c>
      <c r="I1198" s="26">
        <v>0</v>
      </c>
      <c r="J1198" s="26">
        <v>0</v>
      </c>
      <c r="K1198" s="26">
        <v>0</v>
      </c>
      <c r="L1198" s="26">
        <v>0</v>
      </c>
      <c r="M1198" s="26">
        <v>0</v>
      </c>
      <c r="N1198" s="26">
        <v>0</v>
      </c>
      <c r="O1198" s="285"/>
      <c r="P1198" s="202">
        <v>1182</v>
      </c>
      <c r="Q1198" s="210">
        <v>10</v>
      </c>
      <c r="R1198" s="205" t="s">
        <v>976</v>
      </c>
      <c r="S1198" s="206" t="s">
        <v>106</v>
      </c>
      <c r="T1198" s="211">
        <v>4540</v>
      </c>
      <c r="U1198" s="211">
        <v>672.42</v>
      </c>
      <c r="V1198" s="213">
        <v>3946.45</v>
      </c>
      <c r="W1198" s="213">
        <v>86.93</v>
      </c>
    </row>
    <row r="1199" spans="1:23" ht="15" customHeight="1">
      <c r="C1199" s="3">
        <v>10</v>
      </c>
      <c r="D1199" s="15" t="s">
        <v>901</v>
      </c>
      <c r="E1199" s="312" t="s">
        <v>125</v>
      </c>
      <c r="G1199" s="26">
        <v>963</v>
      </c>
      <c r="H1199" s="26">
        <v>140</v>
      </c>
      <c r="I1199" s="26">
        <v>0</v>
      </c>
      <c r="J1199" s="26">
        <v>0</v>
      </c>
      <c r="K1199" s="26">
        <v>0</v>
      </c>
      <c r="L1199" s="26">
        <v>0</v>
      </c>
      <c r="M1199" s="26">
        <v>0</v>
      </c>
      <c r="N1199" s="26">
        <v>0</v>
      </c>
      <c r="O1199" s="285"/>
      <c r="P1199" s="202">
        <v>1183</v>
      </c>
      <c r="Q1199" s="210">
        <v>10</v>
      </c>
      <c r="R1199" s="205" t="s">
        <v>977</v>
      </c>
      <c r="S1199" s="206" t="s">
        <v>197</v>
      </c>
      <c r="T1199" s="211">
        <v>0</v>
      </c>
      <c r="U1199" s="211">
        <v>0</v>
      </c>
      <c r="V1199" s="213">
        <v>0</v>
      </c>
      <c r="W1199" s="213">
        <v>0</v>
      </c>
    </row>
    <row r="1200" spans="1:23" ht="15" customHeight="1">
      <c r="C1200" s="3">
        <v>10</v>
      </c>
      <c r="D1200" s="15" t="s">
        <v>902</v>
      </c>
      <c r="E1200" s="312" t="s">
        <v>106</v>
      </c>
      <c r="G1200" s="26">
        <v>0</v>
      </c>
      <c r="H1200" s="26">
        <v>14611</v>
      </c>
      <c r="I1200" s="26">
        <v>21031</v>
      </c>
      <c r="J1200" s="26">
        <v>33018</v>
      </c>
      <c r="K1200" s="26">
        <v>20500</v>
      </c>
      <c r="L1200" s="26">
        <v>16684</v>
      </c>
      <c r="M1200" s="26">
        <v>35500</v>
      </c>
      <c r="N1200" s="26">
        <v>27000</v>
      </c>
      <c r="O1200" s="285" t="s">
        <v>2808</v>
      </c>
      <c r="P1200" s="202">
        <v>1184</v>
      </c>
      <c r="Q1200" s="210">
        <v>10</v>
      </c>
      <c r="R1200" s="205" t="s">
        <v>978</v>
      </c>
      <c r="S1200" s="206" t="s">
        <v>128</v>
      </c>
      <c r="T1200" s="211">
        <v>0</v>
      </c>
      <c r="U1200" s="211">
        <v>6.49</v>
      </c>
      <c r="V1200" s="213">
        <v>57.53</v>
      </c>
      <c r="W1200" s="213">
        <v>0</v>
      </c>
    </row>
    <row r="1201" spans="1:23" ht="15" customHeight="1">
      <c r="C1201" s="3">
        <v>10</v>
      </c>
      <c r="D1201" s="15" t="s">
        <v>903</v>
      </c>
      <c r="E1201" s="312" t="s">
        <v>197</v>
      </c>
      <c r="G1201" s="26">
        <v>0</v>
      </c>
      <c r="H1201" s="26">
        <v>0</v>
      </c>
      <c r="I1201" s="26">
        <v>0</v>
      </c>
      <c r="J1201" s="26">
        <v>0</v>
      </c>
      <c r="K1201" s="26">
        <v>0</v>
      </c>
      <c r="L1201" s="26">
        <v>0</v>
      </c>
      <c r="M1201" s="26">
        <v>0</v>
      </c>
      <c r="N1201" s="26">
        <v>0</v>
      </c>
      <c r="O1201" s="285"/>
      <c r="P1201" s="202">
        <v>1185</v>
      </c>
      <c r="Q1201" s="210">
        <v>10</v>
      </c>
      <c r="R1201" s="205" t="s">
        <v>979</v>
      </c>
      <c r="S1201" s="206" t="s">
        <v>200</v>
      </c>
      <c r="T1201" s="211">
        <v>1470</v>
      </c>
      <c r="U1201" s="211">
        <v>99.65</v>
      </c>
      <c r="V1201" s="213">
        <v>666.44</v>
      </c>
      <c r="W1201" s="213">
        <v>45.34</v>
      </c>
    </row>
    <row r="1202" spans="1:23" ht="15" customHeight="1">
      <c r="C1202" s="3">
        <v>10</v>
      </c>
      <c r="D1202" s="15" t="s">
        <v>904</v>
      </c>
      <c r="E1202" s="312" t="s">
        <v>128</v>
      </c>
      <c r="G1202" s="26">
        <v>895</v>
      </c>
      <c r="H1202" s="26">
        <v>90</v>
      </c>
      <c r="I1202" s="26">
        <v>60</v>
      </c>
      <c r="J1202" s="26">
        <v>0</v>
      </c>
      <c r="K1202" s="26">
        <v>100</v>
      </c>
      <c r="L1202" s="26">
        <v>0</v>
      </c>
      <c r="M1202" s="26">
        <v>0</v>
      </c>
      <c r="N1202" s="26">
        <v>0</v>
      </c>
      <c r="O1202" s="285"/>
      <c r="P1202" s="202">
        <v>1186</v>
      </c>
      <c r="Q1202" s="210">
        <v>10</v>
      </c>
      <c r="R1202" s="205" t="s">
        <v>980</v>
      </c>
      <c r="S1202" s="206" t="s">
        <v>202</v>
      </c>
      <c r="T1202" s="211">
        <v>0</v>
      </c>
      <c r="U1202" s="211">
        <v>0</v>
      </c>
      <c r="V1202" s="213">
        <v>0</v>
      </c>
      <c r="W1202" s="213">
        <v>0</v>
      </c>
    </row>
    <row r="1203" spans="1:23" ht="15" customHeight="1">
      <c r="C1203" s="3">
        <v>10</v>
      </c>
      <c r="D1203" s="15" t="s">
        <v>905</v>
      </c>
      <c r="E1203" s="312" t="s">
        <v>200</v>
      </c>
      <c r="G1203" s="26">
        <v>40</v>
      </c>
      <c r="H1203" s="26">
        <v>2887</v>
      </c>
      <c r="I1203" s="26">
        <v>4668</v>
      </c>
      <c r="J1203" s="26">
        <v>6366</v>
      </c>
      <c r="K1203" s="26">
        <v>7000</v>
      </c>
      <c r="L1203" s="26">
        <v>3890</v>
      </c>
      <c r="M1203" s="26">
        <v>7000</v>
      </c>
      <c r="N1203" s="26">
        <v>7000</v>
      </c>
      <c r="O1203" s="285"/>
      <c r="P1203" s="202">
        <v>1187</v>
      </c>
      <c r="Q1203" s="210">
        <v>10</v>
      </c>
      <c r="R1203" s="205" t="s">
        <v>981</v>
      </c>
      <c r="S1203" s="206" t="s">
        <v>130</v>
      </c>
      <c r="T1203" s="211">
        <v>250</v>
      </c>
      <c r="U1203" s="211">
        <v>26.59</v>
      </c>
      <c r="V1203" s="213">
        <v>215.79</v>
      </c>
      <c r="W1203" s="213">
        <v>86.32</v>
      </c>
    </row>
    <row r="1204" spans="1:23" ht="15" customHeight="1">
      <c r="C1204" s="3">
        <v>10</v>
      </c>
      <c r="D1204" s="15" t="s">
        <v>906</v>
      </c>
      <c r="E1204" s="312" t="s">
        <v>202</v>
      </c>
      <c r="G1204" s="26">
        <v>0</v>
      </c>
      <c r="H1204" s="26">
        <v>0</v>
      </c>
      <c r="I1204" s="26">
        <v>0</v>
      </c>
      <c r="J1204" s="26">
        <v>0</v>
      </c>
      <c r="K1204" s="26">
        <v>0</v>
      </c>
      <c r="L1204" s="26">
        <v>0</v>
      </c>
      <c r="M1204" s="26">
        <v>0</v>
      </c>
      <c r="N1204" s="26">
        <v>0</v>
      </c>
      <c r="O1204" s="285"/>
      <c r="P1204" s="202">
        <v>1188</v>
      </c>
      <c r="Q1204" s="210">
        <v>10</v>
      </c>
      <c r="R1204" s="205" t="s">
        <v>982</v>
      </c>
      <c r="S1204" s="206" t="s">
        <v>132</v>
      </c>
      <c r="T1204" s="211">
        <v>1500</v>
      </c>
      <c r="U1204" s="211">
        <v>237.7</v>
      </c>
      <c r="V1204" s="213">
        <v>1274.8</v>
      </c>
      <c r="W1204" s="213">
        <v>84.99</v>
      </c>
    </row>
    <row r="1205" spans="1:23" ht="15" customHeight="1">
      <c r="C1205" s="3">
        <v>10</v>
      </c>
      <c r="D1205" s="15" t="s">
        <v>907</v>
      </c>
      <c r="E1205" s="312" t="s">
        <v>130</v>
      </c>
      <c r="G1205" s="26">
        <v>21860</v>
      </c>
      <c r="H1205" s="26">
        <v>606</v>
      </c>
      <c r="I1205" s="26">
        <v>701</v>
      </c>
      <c r="J1205" s="26">
        <v>1347</v>
      </c>
      <c r="K1205" s="26">
        <v>500</v>
      </c>
      <c r="L1205" s="26">
        <v>846</v>
      </c>
      <c r="M1205" s="26">
        <v>1690</v>
      </c>
      <c r="N1205" s="26">
        <v>1800</v>
      </c>
      <c r="O1205" s="285" t="s">
        <v>2809</v>
      </c>
      <c r="P1205" s="202">
        <v>1189</v>
      </c>
      <c r="Q1205" s="210">
        <v>10</v>
      </c>
      <c r="R1205" s="205" t="s">
        <v>983</v>
      </c>
      <c r="S1205" s="206" t="s">
        <v>206</v>
      </c>
      <c r="T1205" s="211">
        <v>600</v>
      </c>
      <c r="U1205" s="211">
        <v>16.75</v>
      </c>
      <c r="V1205" s="213">
        <v>324.06</v>
      </c>
      <c r="W1205" s="213">
        <v>54.01</v>
      </c>
    </row>
    <row r="1206" spans="1:23" ht="15" customHeight="1">
      <c r="C1206" s="3">
        <v>10</v>
      </c>
      <c r="D1206" s="15" t="s">
        <v>908</v>
      </c>
      <c r="E1206" s="312" t="s">
        <v>132</v>
      </c>
      <c r="G1206" s="26">
        <v>453</v>
      </c>
      <c r="H1206" s="26">
        <v>3645</v>
      </c>
      <c r="I1206" s="26">
        <v>1180</v>
      </c>
      <c r="J1206" s="26">
        <v>295</v>
      </c>
      <c r="K1206" s="26">
        <v>2000</v>
      </c>
      <c r="L1206" s="26">
        <v>658</v>
      </c>
      <c r="M1206" s="26">
        <v>2000</v>
      </c>
      <c r="N1206" s="26">
        <v>2000</v>
      </c>
      <c r="O1206" s="285"/>
      <c r="P1206" s="202">
        <v>1190</v>
      </c>
      <c r="Q1206" s="210">
        <v>10</v>
      </c>
      <c r="R1206" s="205" t="s">
        <v>984</v>
      </c>
      <c r="S1206" s="206" t="s">
        <v>208</v>
      </c>
      <c r="T1206" s="211">
        <v>0</v>
      </c>
      <c r="U1206" s="211">
        <v>0</v>
      </c>
      <c r="V1206" s="213">
        <v>128.63999999999999</v>
      </c>
      <c r="W1206" s="213">
        <v>0</v>
      </c>
    </row>
    <row r="1207" spans="1:23" ht="15" customHeight="1">
      <c r="C1207" s="3">
        <v>10</v>
      </c>
      <c r="D1207" s="15" t="s">
        <v>909</v>
      </c>
      <c r="E1207" s="312" t="s">
        <v>206</v>
      </c>
      <c r="G1207" s="26">
        <v>12</v>
      </c>
      <c r="H1207" s="26">
        <v>276</v>
      </c>
      <c r="I1207" s="26">
        <v>328</v>
      </c>
      <c r="J1207" s="26">
        <v>164</v>
      </c>
      <c r="K1207" s="26">
        <v>300</v>
      </c>
      <c r="L1207" s="26">
        <v>28</v>
      </c>
      <c r="M1207" s="26">
        <v>300</v>
      </c>
      <c r="N1207" s="26">
        <v>300</v>
      </c>
      <c r="O1207" s="285"/>
      <c r="P1207" s="202">
        <v>1191</v>
      </c>
      <c r="Q1207" s="210">
        <v>10</v>
      </c>
      <c r="R1207" s="205" t="s">
        <v>985</v>
      </c>
      <c r="S1207" s="206" t="s">
        <v>210</v>
      </c>
      <c r="T1207" s="211">
        <v>0</v>
      </c>
      <c r="U1207" s="211">
        <v>0</v>
      </c>
      <c r="V1207" s="213">
        <v>52.5</v>
      </c>
      <c r="W1207" s="213">
        <v>0</v>
      </c>
    </row>
    <row r="1208" spans="1:23" ht="15" customHeight="1">
      <c r="C1208" s="3">
        <v>10</v>
      </c>
      <c r="D1208" s="15" t="s">
        <v>910</v>
      </c>
      <c r="E1208" s="312" t="s">
        <v>208</v>
      </c>
      <c r="G1208" s="26">
        <v>11216</v>
      </c>
      <c r="H1208" s="26">
        <v>21657</v>
      </c>
      <c r="I1208" s="26">
        <v>19117</v>
      </c>
      <c r="J1208" s="26">
        <v>18067</v>
      </c>
      <c r="K1208" s="26">
        <v>18000</v>
      </c>
      <c r="L1208" s="26">
        <v>10485</v>
      </c>
      <c r="M1208" s="26">
        <v>20969</v>
      </c>
      <c r="N1208" s="26">
        <v>21000</v>
      </c>
      <c r="O1208" s="285" t="s">
        <v>2810</v>
      </c>
      <c r="P1208" s="202">
        <v>1192</v>
      </c>
      <c r="Q1208" s="210">
        <v>10</v>
      </c>
      <c r="R1208" s="205" t="s">
        <v>986</v>
      </c>
      <c r="S1208" s="206" t="s">
        <v>134</v>
      </c>
      <c r="T1208" s="211">
        <v>0</v>
      </c>
      <c r="U1208" s="211">
        <v>0</v>
      </c>
      <c r="V1208" s="213">
        <v>0</v>
      </c>
      <c r="W1208" s="213">
        <v>0</v>
      </c>
    </row>
    <row r="1209" spans="1:23" ht="15" customHeight="1">
      <c r="C1209" s="3">
        <v>10</v>
      </c>
      <c r="D1209" s="15" t="s">
        <v>911</v>
      </c>
      <c r="E1209" s="312" t="s">
        <v>912</v>
      </c>
      <c r="G1209" s="26">
        <v>0</v>
      </c>
      <c r="H1209" s="26">
        <v>-60</v>
      </c>
      <c r="I1209" s="26">
        <v>0</v>
      </c>
      <c r="J1209" s="26">
        <v>0</v>
      </c>
      <c r="K1209" s="26">
        <v>0</v>
      </c>
      <c r="L1209" s="26">
        <v>0</v>
      </c>
      <c r="M1209" s="26">
        <v>0</v>
      </c>
      <c r="N1209" s="26">
        <v>0</v>
      </c>
      <c r="O1209" s="285"/>
      <c r="P1209" s="202">
        <v>1193</v>
      </c>
      <c r="Q1209" s="210">
        <v>10</v>
      </c>
      <c r="R1209" s="205" t="s">
        <v>987</v>
      </c>
      <c r="S1209" s="206" t="s">
        <v>213</v>
      </c>
      <c r="T1209" s="211">
        <v>3000</v>
      </c>
      <c r="U1209" s="211">
        <v>0</v>
      </c>
      <c r="V1209" s="213">
        <v>538.51</v>
      </c>
      <c r="W1209" s="213">
        <v>17.95</v>
      </c>
    </row>
    <row r="1210" spans="1:23" ht="15" customHeight="1">
      <c r="C1210" s="3">
        <v>10</v>
      </c>
      <c r="D1210" s="15" t="s">
        <v>913</v>
      </c>
      <c r="E1210" s="312" t="s">
        <v>210</v>
      </c>
      <c r="G1210" s="26">
        <v>1152</v>
      </c>
      <c r="H1210" s="26">
        <v>697</v>
      </c>
      <c r="I1210" s="26">
        <v>534</v>
      </c>
      <c r="J1210" s="26">
        <v>989</v>
      </c>
      <c r="K1210" s="26">
        <v>750</v>
      </c>
      <c r="L1210" s="26">
        <v>919</v>
      </c>
      <c r="M1210" s="26">
        <v>1200</v>
      </c>
      <c r="N1210" s="26">
        <v>1200</v>
      </c>
      <c r="O1210" s="285" t="s">
        <v>2811</v>
      </c>
      <c r="P1210" s="202">
        <v>1194</v>
      </c>
      <c r="Q1210" s="210">
        <v>10</v>
      </c>
      <c r="R1210" s="205" t="s">
        <v>2623</v>
      </c>
      <c r="S1210" s="206"/>
      <c r="T1210" s="211"/>
      <c r="U1210" s="211"/>
      <c r="V1210" s="213"/>
      <c r="W1210" s="213"/>
    </row>
    <row r="1211" spans="1:23" ht="15" customHeight="1">
      <c r="C1211" s="3">
        <v>10</v>
      </c>
      <c r="D1211" s="15" t="s">
        <v>914</v>
      </c>
      <c r="E1211" s="312" t="s">
        <v>134</v>
      </c>
      <c r="G1211" s="26">
        <v>310</v>
      </c>
      <c r="H1211" s="26">
        <v>1090</v>
      </c>
      <c r="I1211" s="26">
        <v>246</v>
      </c>
      <c r="J1211" s="26">
        <v>0</v>
      </c>
      <c r="K1211" s="26">
        <v>500</v>
      </c>
      <c r="L1211" s="26">
        <v>0</v>
      </c>
      <c r="M1211" s="26">
        <v>500</v>
      </c>
      <c r="N1211" s="26">
        <v>500</v>
      </c>
      <c r="O1211" s="285"/>
      <c r="P1211" s="202">
        <v>1195</v>
      </c>
      <c r="Q1211" s="210">
        <v>10</v>
      </c>
      <c r="R1211" s="205" t="s">
        <v>104</v>
      </c>
      <c r="S1211" s="206"/>
      <c r="T1211" s="211">
        <v>11885</v>
      </c>
      <c r="U1211" s="211">
        <v>1087.17</v>
      </c>
      <c r="V1211" s="213">
        <v>7482.49</v>
      </c>
      <c r="W1211" s="213">
        <v>0</v>
      </c>
    </row>
    <row r="1212" spans="1:23" ht="15" customHeight="1">
      <c r="C1212" s="3">
        <v>10</v>
      </c>
      <c r="D1212" s="15" t="s">
        <v>915</v>
      </c>
      <c r="E1212" s="312" t="s">
        <v>213</v>
      </c>
      <c r="G1212" s="26">
        <v>0</v>
      </c>
      <c r="H1212" s="26">
        <v>0</v>
      </c>
      <c r="I1212" s="26">
        <v>0</v>
      </c>
      <c r="J1212" s="26">
        <v>0</v>
      </c>
      <c r="K1212" s="26">
        <v>0</v>
      </c>
      <c r="L1212" s="26">
        <v>0</v>
      </c>
      <c r="M1212" s="26">
        <v>0</v>
      </c>
      <c r="N1212" s="26">
        <v>0</v>
      </c>
      <c r="O1212" s="285"/>
      <c r="P1212" s="202">
        <v>1196</v>
      </c>
      <c r="Q1212" s="210">
        <v>10</v>
      </c>
      <c r="R1212" s="205" t="s">
        <v>135</v>
      </c>
      <c r="S1212" s="206"/>
      <c r="T1212" s="211"/>
      <c r="U1212" s="211"/>
      <c r="V1212" s="213"/>
      <c r="W1212" s="213"/>
    </row>
    <row r="1213" spans="1:23" ht="15" customHeight="1">
      <c r="G1213" s="26"/>
      <c r="H1213" s="26"/>
      <c r="I1213" s="26"/>
      <c r="J1213" s="26"/>
      <c r="K1213" s="26"/>
      <c r="L1213" s="26"/>
      <c r="M1213" s="26"/>
      <c r="N1213" s="26"/>
      <c r="O1213" s="293"/>
      <c r="P1213" s="202">
        <v>1197</v>
      </c>
      <c r="Q1213" s="210">
        <v>10</v>
      </c>
      <c r="R1213" s="205" t="s">
        <v>2626</v>
      </c>
      <c r="S1213" s="206"/>
      <c r="T1213" s="211"/>
      <c r="U1213" s="211"/>
      <c r="V1213" s="213"/>
      <c r="W1213" s="213"/>
    </row>
    <row r="1214" spans="1:23" s="200" customFormat="1" ht="15" customHeight="1">
      <c r="A1214" s="196" t="s">
        <v>104</v>
      </c>
      <c r="B1214" s="196" t="s">
        <v>2317</v>
      </c>
      <c r="C1214" s="75"/>
      <c r="D1214" s="323" t="s">
        <v>2128</v>
      </c>
      <c r="E1214" s="323"/>
      <c r="F1214" s="324"/>
      <c r="G1214" s="325">
        <f>SUM(G1192:G1213)</f>
        <v>37009</v>
      </c>
      <c r="H1214" s="325">
        <f t="shared" ref="H1214:N1214" si="101">SUM(H1192:H1213)</f>
        <v>47332</v>
      </c>
      <c r="I1214" s="325">
        <f t="shared" si="101"/>
        <v>49134</v>
      </c>
      <c r="J1214" s="325">
        <f t="shared" si="101"/>
        <v>61357</v>
      </c>
      <c r="K1214" s="325">
        <f t="shared" si="101"/>
        <v>50930</v>
      </c>
      <c r="L1214" s="325">
        <f t="shared" si="101"/>
        <v>34016</v>
      </c>
      <c r="M1214" s="325">
        <f t="shared" si="101"/>
        <v>70559</v>
      </c>
      <c r="N1214" s="325">
        <f t="shared" si="101"/>
        <v>62175</v>
      </c>
      <c r="O1214" s="287"/>
      <c r="P1214" s="202">
        <v>1198</v>
      </c>
      <c r="Q1214" s="210">
        <v>10</v>
      </c>
      <c r="R1214" s="205" t="s">
        <v>988</v>
      </c>
      <c r="S1214" s="206" t="s">
        <v>137</v>
      </c>
      <c r="T1214" s="211">
        <v>1300</v>
      </c>
      <c r="U1214" s="211">
        <v>119.89</v>
      </c>
      <c r="V1214" s="213">
        <v>1189.6600000000001</v>
      </c>
      <c r="W1214" s="213">
        <v>91.51</v>
      </c>
    </row>
    <row r="1215" spans="1:23" s="46" customFormat="1" ht="15" customHeight="1">
      <c r="A1215" s="2"/>
      <c r="B1215" s="2"/>
      <c r="C1215" s="3"/>
      <c r="D1215" s="47"/>
      <c r="E1215" s="47"/>
      <c r="F1215" s="191"/>
      <c r="G1215" s="48"/>
      <c r="H1215" s="48"/>
      <c r="I1215" s="48"/>
      <c r="J1215" s="48"/>
      <c r="K1215" s="48"/>
      <c r="L1215" s="48"/>
      <c r="M1215" s="48"/>
      <c r="N1215" s="48"/>
      <c r="O1215" s="289"/>
      <c r="P1215" s="202">
        <v>1199</v>
      </c>
      <c r="Q1215" s="210">
        <v>10</v>
      </c>
      <c r="R1215" s="205" t="s">
        <v>989</v>
      </c>
      <c r="S1215" s="206" t="s">
        <v>216</v>
      </c>
      <c r="T1215" s="211">
        <v>0</v>
      </c>
      <c r="U1215" s="211">
        <v>0</v>
      </c>
      <c r="V1215" s="213">
        <v>0</v>
      </c>
      <c r="W1215" s="213">
        <v>0</v>
      </c>
    </row>
    <row r="1216" spans="1:23" ht="15" customHeight="1">
      <c r="D1216" s="47" t="s">
        <v>2129</v>
      </c>
      <c r="G1216" s="26"/>
      <c r="H1216" s="26"/>
      <c r="I1216" s="26"/>
      <c r="J1216" s="26"/>
      <c r="K1216" s="26"/>
      <c r="L1216" s="26"/>
      <c r="M1216" s="26"/>
      <c r="N1216" s="26"/>
      <c r="P1216" s="202">
        <v>1200</v>
      </c>
      <c r="Q1216" s="210">
        <v>10</v>
      </c>
      <c r="R1216" s="205" t="s">
        <v>990</v>
      </c>
      <c r="S1216" s="206" t="s">
        <v>139</v>
      </c>
      <c r="T1216" s="211">
        <v>2000</v>
      </c>
      <c r="U1216" s="211">
        <v>0</v>
      </c>
      <c r="V1216" s="213">
        <v>0</v>
      </c>
      <c r="W1216" s="213">
        <v>0</v>
      </c>
    </row>
    <row r="1217" spans="3:23" ht="15" customHeight="1">
      <c r="G1217" s="26"/>
      <c r="H1217" s="26"/>
      <c r="I1217" s="26"/>
      <c r="J1217" s="26"/>
      <c r="K1217" s="26"/>
      <c r="L1217" s="26"/>
      <c r="M1217" s="26"/>
      <c r="N1217" s="26"/>
      <c r="P1217" s="202">
        <v>1201</v>
      </c>
      <c r="Q1217" s="210">
        <v>10</v>
      </c>
      <c r="R1217" s="205" t="s">
        <v>991</v>
      </c>
      <c r="S1217" s="206" t="s">
        <v>141</v>
      </c>
      <c r="T1217" s="211">
        <v>0</v>
      </c>
      <c r="U1217" s="211">
        <v>0</v>
      </c>
      <c r="V1217" s="213">
        <v>0</v>
      </c>
      <c r="W1217" s="213">
        <v>0</v>
      </c>
    </row>
    <row r="1218" spans="3:23" ht="15" customHeight="1">
      <c r="C1218" s="3">
        <v>10</v>
      </c>
      <c r="D1218" s="15" t="s">
        <v>916</v>
      </c>
      <c r="E1218" s="312" t="s">
        <v>137</v>
      </c>
      <c r="G1218" s="26">
        <v>3626</v>
      </c>
      <c r="H1218" s="26">
        <v>2812</v>
      </c>
      <c r="I1218" s="26">
        <v>2969</v>
      </c>
      <c r="J1218" s="26">
        <v>3115</v>
      </c>
      <c r="K1218" s="26">
        <v>3500</v>
      </c>
      <c r="L1218" s="26">
        <v>1959</v>
      </c>
      <c r="M1218" s="26">
        <v>3500</v>
      </c>
      <c r="N1218" s="26">
        <v>3500</v>
      </c>
      <c r="O1218" s="285"/>
      <c r="P1218" s="202">
        <v>1202</v>
      </c>
      <c r="Q1218" s="210">
        <v>10</v>
      </c>
      <c r="R1218" s="205" t="s">
        <v>992</v>
      </c>
      <c r="S1218" s="206" t="s">
        <v>143</v>
      </c>
      <c r="T1218" s="211">
        <v>0</v>
      </c>
      <c r="U1218" s="211">
        <v>0</v>
      </c>
      <c r="V1218" s="213">
        <v>0</v>
      </c>
      <c r="W1218" s="213">
        <v>0</v>
      </c>
    </row>
    <row r="1219" spans="3:23" ht="15" customHeight="1">
      <c r="C1219" s="3">
        <v>10</v>
      </c>
      <c r="D1219" s="15" t="s">
        <v>917</v>
      </c>
      <c r="E1219" s="312" t="s">
        <v>216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85"/>
      <c r="P1219" s="202">
        <v>1203</v>
      </c>
      <c r="Q1219" s="210">
        <v>10</v>
      </c>
      <c r="R1219" s="205" t="s">
        <v>993</v>
      </c>
      <c r="S1219" s="206" t="s">
        <v>145</v>
      </c>
      <c r="T1219" s="211">
        <v>20000</v>
      </c>
      <c r="U1219" s="211">
        <v>2142.8000000000002</v>
      </c>
      <c r="V1219" s="213">
        <v>12041.1</v>
      </c>
      <c r="W1219" s="213">
        <v>60.21</v>
      </c>
    </row>
    <row r="1220" spans="3:23" ht="15" customHeight="1">
      <c r="C1220" s="3">
        <v>10</v>
      </c>
      <c r="D1220" s="15" t="s">
        <v>918</v>
      </c>
      <c r="E1220" s="312" t="s">
        <v>139</v>
      </c>
      <c r="G1220" s="26">
        <v>3871</v>
      </c>
      <c r="H1220" s="26">
        <v>3473</v>
      </c>
      <c r="I1220" s="26">
        <v>3863</v>
      </c>
      <c r="J1220" s="26">
        <v>1892</v>
      </c>
      <c r="K1220" s="26">
        <v>3500</v>
      </c>
      <c r="L1220" s="26">
        <v>1494</v>
      </c>
      <c r="M1220" s="26">
        <v>3500</v>
      </c>
      <c r="N1220" s="26">
        <v>3500</v>
      </c>
      <c r="O1220" s="285"/>
      <c r="P1220" s="202">
        <v>1204</v>
      </c>
      <c r="Q1220" s="210">
        <v>10</v>
      </c>
      <c r="R1220" s="205" t="s">
        <v>994</v>
      </c>
      <c r="S1220" s="206" t="s">
        <v>147</v>
      </c>
      <c r="T1220" s="211">
        <v>0</v>
      </c>
      <c r="U1220" s="211">
        <v>0</v>
      </c>
      <c r="V1220" s="213">
        <v>5.2</v>
      </c>
      <c r="W1220" s="213">
        <v>0</v>
      </c>
    </row>
    <row r="1221" spans="3:23" ht="15" customHeight="1">
      <c r="C1221" s="3">
        <v>10</v>
      </c>
      <c r="D1221" s="15" t="s">
        <v>919</v>
      </c>
      <c r="E1221" s="312" t="s">
        <v>654</v>
      </c>
      <c r="G1221" s="26">
        <v>0</v>
      </c>
      <c r="H1221" s="26">
        <v>0</v>
      </c>
      <c r="I1221" s="26">
        <v>0</v>
      </c>
      <c r="J1221" s="26">
        <v>0</v>
      </c>
      <c r="K1221" s="26">
        <v>0</v>
      </c>
      <c r="L1221" s="26">
        <v>0</v>
      </c>
      <c r="M1221" s="26">
        <v>0</v>
      </c>
      <c r="N1221" s="26">
        <v>0</v>
      </c>
      <c r="O1221" s="285"/>
      <c r="P1221" s="202">
        <v>1205</v>
      </c>
      <c r="Q1221" s="210">
        <v>10</v>
      </c>
      <c r="R1221" s="205" t="s">
        <v>995</v>
      </c>
      <c r="S1221" s="206" t="s">
        <v>149</v>
      </c>
      <c r="T1221" s="211">
        <v>250</v>
      </c>
      <c r="U1221" s="211">
        <v>21.3</v>
      </c>
      <c r="V1221" s="213">
        <v>29.45</v>
      </c>
      <c r="W1221" s="213">
        <v>11.78</v>
      </c>
    </row>
    <row r="1222" spans="3:23" ht="15" customHeight="1">
      <c r="C1222" s="3">
        <v>10</v>
      </c>
      <c r="D1222" s="15" t="s">
        <v>920</v>
      </c>
      <c r="E1222" s="312" t="s">
        <v>921</v>
      </c>
      <c r="G1222" s="26">
        <v>21484</v>
      </c>
      <c r="H1222" s="26">
        <v>38829</v>
      </c>
      <c r="I1222" s="26">
        <v>62708</v>
      </c>
      <c r="J1222" s="26">
        <v>50708</v>
      </c>
      <c r="K1222" s="26">
        <v>58960</v>
      </c>
      <c r="L1222" s="26">
        <v>17777</v>
      </c>
      <c r="M1222" s="26">
        <v>58960</v>
      </c>
      <c r="N1222" s="26">
        <v>58960</v>
      </c>
      <c r="O1222" s="285" t="s">
        <v>2855</v>
      </c>
      <c r="P1222" s="202">
        <v>1206</v>
      </c>
      <c r="Q1222" s="210">
        <v>10</v>
      </c>
      <c r="R1222" s="205" t="s">
        <v>996</v>
      </c>
      <c r="S1222" s="206" t="s">
        <v>151</v>
      </c>
      <c r="T1222" s="211">
        <v>0</v>
      </c>
      <c r="U1222" s="211">
        <v>0</v>
      </c>
      <c r="V1222" s="213">
        <v>12.52</v>
      </c>
      <c r="W1222" s="213">
        <v>0</v>
      </c>
    </row>
    <row r="1223" spans="3:23" ht="15" customHeight="1">
      <c r="C1223" s="3">
        <v>10</v>
      </c>
      <c r="D1223" s="15" t="s">
        <v>922</v>
      </c>
      <c r="E1223" s="312" t="s">
        <v>141</v>
      </c>
      <c r="G1223" s="26">
        <v>0</v>
      </c>
      <c r="H1223" s="26">
        <v>0</v>
      </c>
      <c r="I1223" s="26">
        <v>0</v>
      </c>
      <c r="J1223" s="26">
        <v>0</v>
      </c>
      <c r="K1223" s="26">
        <v>0</v>
      </c>
      <c r="L1223" s="26">
        <v>0</v>
      </c>
      <c r="M1223" s="26">
        <v>0</v>
      </c>
      <c r="N1223" s="26">
        <v>0</v>
      </c>
      <c r="O1223" s="285"/>
      <c r="P1223" s="202">
        <v>1207</v>
      </c>
      <c r="Q1223" s="210">
        <v>10</v>
      </c>
      <c r="R1223" s="205" t="s">
        <v>997</v>
      </c>
      <c r="S1223" s="206" t="s">
        <v>153</v>
      </c>
      <c r="T1223" s="211">
        <v>100</v>
      </c>
      <c r="U1223" s="211">
        <v>0</v>
      </c>
      <c r="V1223" s="213">
        <v>101.84</v>
      </c>
      <c r="W1223" s="213">
        <v>101.84</v>
      </c>
    </row>
    <row r="1224" spans="3:23" ht="15" customHeight="1">
      <c r="C1224" s="3">
        <v>10</v>
      </c>
      <c r="D1224" s="15" t="s">
        <v>923</v>
      </c>
      <c r="E1224" s="312" t="s">
        <v>143</v>
      </c>
      <c r="G1224" s="26">
        <v>0</v>
      </c>
      <c r="H1224" s="26">
        <v>0</v>
      </c>
      <c r="I1224" s="26">
        <v>0</v>
      </c>
      <c r="J1224" s="26">
        <v>0</v>
      </c>
      <c r="K1224" s="26">
        <v>0</v>
      </c>
      <c r="L1224" s="26">
        <v>0</v>
      </c>
      <c r="M1224" s="26">
        <v>0</v>
      </c>
      <c r="N1224" s="26">
        <v>0</v>
      </c>
      <c r="O1224" s="285"/>
      <c r="P1224" s="202">
        <v>1208</v>
      </c>
      <c r="Q1224" s="210">
        <v>10</v>
      </c>
      <c r="R1224" s="205" t="s">
        <v>998</v>
      </c>
      <c r="S1224" s="206" t="s">
        <v>159</v>
      </c>
      <c r="T1224" s="211">
        <v>2390</v>
      </c>
      <c r="U1224" s="211">
        <v>177.43</v>
      </c>
      <c r="V1224" s="213">
        <v>1419.44</v>
      </c>
      <c r="W1224" s="213">
        <v>59.39</v>
      </c>
    </row>
    <row r="1225" spans="3:23" ht="15" customHeight="1">
      <c r="C1225" s="3">
        <v>10</v>
      </c>
      <c r="D1225" s="15" t="s">
        <v>924</v>
      </c>
      <c r="E1225" s="312" t="s">
        <v>145</v>
      </c>
      <c r="G1225" s="26">
        <v>0</v>
      </c>
      <c r="H1225" s="26">
        <v>0</v>
      </c>
      <c r="I1225" s="26">
        <v>5310</v>
      </c>
      <c r="J1225" s="26">
        <v>9448</v>
      </c>
      <c r="K1225" s="26">
        <v>12500</v>
      </c>
      <c r="L1225" s="26">
        <v>4815</v>
      </c>
      <c r="M1225" s="26">
        <v>12500</v>
      </c>
      <c r="N1225" s="26">
        <v>12500</v>
      </c>
      <c r="O1225" s="285"/>
      <c r="P1225" s="202">
        <v>1209</v>
      </c>
      <c r="Q1225" s="210">
        <v>10</v>
      </c>
      <c r="R1225" s="205" t="s">
        <v>999</v>
      </c>
      <c r="S1225" s="206" t="s">
        <v>229</v>
      </c>
      <c r="T1225" s="211">
        <v>214</v>
      </c>
      <c r="U1225" s="211">
        <v>39.549999999999997</v>
      </c>
      <c r="V1225" s="213">
        <v>316.39999999999998</v>
      </c>
      <c r="W1225" s="213">
        <v>147.85</v>
      </c>
    </row>
    <row r="1226" spans="3:23" ht="15" customHeight="1">
      <c r="C1226" s="3">
        <v>10</v>
      </c>
      <c r="D1226" s="15" t="s">
        <v>925</v>
      </c>
      <c r="E1226" s="312" t="s">
        <v>147</v>
      </c>
      <c r="G1226" s="26">
        <v>0</v>
      </c>
      <c r="H1226" s="26">
        <v>0</v>
      </c>
      <c r="I1226" s="26">
        <v>11</v>
      </c>
      <c r="J1226" s="26">
        <v>40</v>
      </c>
      <c r="K1226" s="26">
        <v>50</v>
      </c>
      <c r="L1226" s="26">
        <v>9</v>
      </c>
      <c r="M1226" s="26">
        <v>50</v>
      </c>
      <c r="N1226" s="26">
        <v>50</v>
      </c>
      <c r="O1226" s="285"/>
      <c r="P1226" s="202">
        <v>1210</v>
      </c>
      <c r="Q1226" s="210">
        <v>10</v>
      </c>
      <c r="R1226" s="205" t="s">
        <v>1000</v>
      </c>
      <c r="S1226" s="206" t="s">
        <v>162</v>
      </c>
      <c r="T1226" s="211">
        <v>0</v>
      </c>
      <c r="U1226" s="211">
        <v>0</v>
      </c>
      <c r="V1226" s="213">
        <v>0</v>
      </c>
      <c r="W1226" s="213">
        <v>0</v>
      </c>
    </row>
    <row r="1227" spans="3:23" ht="15" customHeight="1">
      <c r="C1227" s="3">
        <v>10</v>
      </c>
      <c r="D1227" s="15" t="s">
        <v>926</v>
      </c>
      <c r="E1227" s="312" t="s">
        <v>149</v>
      </c>
      <c r="G1227" s="26">
        <v>0</v>
      </c>
      <c r="H1227" s="26">
        <v>0</v>
      </c>
      <c r="I1227" s="26">
        <v>201</v>
      </c>
      <c r="J1227" s="26">
        <v>0</v>
      </c>
      <c r="K1227" s="26">
        <v>250</v>
      </c>
      <c r="L1227" s="26">
        <v>16</v>
      </c>
      <c r="M1227" s="26">
        <v>250</v>
      </c>
      <c r="N1227" s="26">
        <v>250</v>
      </c>
      <c r="O1227" s="285"/>
      <c r="P1227" s="202">
        <v>1211</v>
      </c>
      <c r="Q1227" s="210">
        <v>10</v>
      </c>
      <c r="R1227" s="205" t="s">
        <v>2623</v>
      </c>
      <c r="S1227" s="206"/>
      <c r="T1227" s="211"/>
      <c r="U1227" s="211"/>
      <c r="V1227" s="213"/>
      <c r="W1227" s="213"/>
    </row>
    <row r="1228" spans="3:23" ht="15" customHeight="1">
      <c r="C1228" s="3">
        <v>10</v>
      </c>
      <c r="D1228" s="15" t="s">
        <v>927</v>
      </c>
      <c r="E1228" s="312" t="s">
        <v>151</v>
      </c>
      <c r="G1228" s="26">
        <v>300</v>
      </c>
      <c r="H1228" s="26">
        <v>958</v>
      </c>
      <c r="I1228" s="26">
        <v>1074</v>
      </c>
      <c r="J1228" s="26">
        <v>196</v>
      </c>
      <c r="K1228" s="26">
        <v>1000</v>
      </c>
      <c r="L1228" s="26">
        <v>782</v>
      </c>
      <c r="M1228" s="26">
        <v>1000</v>
      </c>
      <c r="N1228" s="26">
        <v>1000</v>
      </c>
      <c r="O1228" s="285"/>
      <c r="P1228" s="202">
        <v>1212</v>
      </c>
      <c r="Q1228" s="210">
        <v>10</v>
      </c>
      <c r="R1228" s="205" t="s">
        <v>135</v>
      </c>
      <c r="S1228" s="206"/>
      <c r="T1228" s="211">
        <v>26254</v>
      </c>
      <c r="U1228" s="211">
        <v>2500.9699999999998</v>
      </c>
      <c r="V1228" s="213">
        <v>15115.61</v>
      </c>
      <c r="W1228" s="213">
        <v>0</v>
      </c>
    </row>
    <row r="1229" spans="3:23" ht="15" customHeight="1">
      <c r="C1229" s="3">
        <v>10</v>
      </c>
      <c r="D1229" s="15" t="s">
        <v>928</v>
      </c>
      <c r="E1229" s="312" t="s">
        <v>153</v>
      </c>
      <c r="G1229" s="26">
        <v>4318</v>
      </c>
      <c r="H1229" s="26">
        <v>7162</v>
      </c>
      <c r="I1229" s="26">
        <v>7732</v>
      </c>
      <c r="J1229" s="26">
        <v>34514</v>
      </c>
      <c r="K1229" s="26">
        <v>10000</v>
      </c>
      <c r="L1229" s="26">
        <v>5598</v>
      </c>
      <c r="M1229" s="26">
        <v>10000</v>
      </c>
      <c r="N1229" s="26">
        <v>16000</v>
      </c>
      <c r="O1229" s="285" t="s">
        <v>2936</v>
      </c>
      <c r="P1229" s="202">
        <v>1213</v>
      </c>
      <c r="Q1229" s="210">
        <v>10</v>
      </c>
      <c r="R1229" s="205" t="s">
        <v>163</v>
      </c>
      <c r="S1229" s="206"/>
      <c r="T1229" s="211"/>
      <c r="U1229" s="211"/>
      <c r="V1229" s="213"/>
      <c r="W1229" s="213"/>
    </row>
    <row r="1230" spans="3:23" ht="15" customHeight="1">
      <c r="C1230" s="3">
        <v>10</v>
      </c>
      <c r="D1230" s="15" t="s">
        <v>929</v>
      </c>
      <c r="E1230" s="312" t="s">
        <v>155</v>
      </c>
      <c r="G1230" s="26">
        <v>-112</v>
      </c>
      <c r="H1230" s="26">
        <v>0</v>
      </c>
      <c r="I1230" s="26">
        <v>-680</v>
      </c>
      <c r="J1230" s="26">
        <v>0</v>
      </c>
      <c r="K1230" s="26">
        <v>0</v>
      </c>
      <c r="L1230" s="26">
        <v>0</v>
      </c>
      <c r="M1230" s="26">
        <v>0</v>
      </c>
      <c r="N1230" s="26">
        <v>0</v>
      </c>
      <c r="O1230" s="285"/>
      <c r="P1230" s="202">
        <v>1214</v>
      </c>
      <c r="Q1230" s="210">
        <v>10</v>
      </c>
      <c r="R1230" s="205" t="s">
        <v>2627</v>
      </c>
      <c r="S1230" s="206"/>
      <c r="T1230" s="211"/>
      <c r="U1230" s="211"/>
      <c r="V1230" s="213"/>
      <c r="W1230" s="213"/>
    </row>
    <row r="1231" spans="3:23" ht="15" customHeight="1">
      <c r="C1231" s="3">
        <v>10</v>
      </c>
      <c r="D1231" s="15" t="s">
        <v>930</v>
      </c>
      <c r="E1231" s="312" t="s">
        <v>666</v>
      </c>
      <c r="G1231" s="26">
        <v>0</v>
      </c>
      <c r="H1231" s="26">
        <v>1135</v>
      </c>
      <c r="I1231" s="26">
        <v>942</v>
      </c>
      <c r="J1231" s="26">
        <v>307</v>
      </c>
      <c r="K1231" s="26">
        <v>1500</v>
      </c>
      <c r="L1231" s="26">
        <v>234</v>
      </c>
      <c r="M1231" s="26">
        <v>1500</v>
      </c>
      <c r="N1231" s="26">
        <v>1500</v>
      </c>
      <c r="O1231" s="285"/>
      <c r="P1231" s="202">
        <v>1215</v>
      </c>
      <c r="Q1231" s="210">
        <v>10</v>
      </c>
      <c r="R1231" s="205" t="s">
        <v>1001</v>
      </c>
      <c r="S1231" s="206" t="s">
        <v>433</v>
      </c>
      <c r="T1231" s="211">
        <v>5000</v>
      </c>
      <c r="U1231" s="211">
        <v>0</v>
      </c>
      <c r="V1231" s="213">
        <v>603.78</v>
      </c>
      <c r="W1231" s="213">
        <v>12.08</v>
      </c>
    </row>
    <row r="1232" spans="3:23" ht="15" customHeight="1">
      <c r="C1232" s="3">
        <v>10</v>
      </c>
      <c r="D1232" s="15" t="s">
        <v>931</v>
      </c>
      <c r="E1232" s="312" t="s">
        <v>668</v>
      </c>
      <c r="G1232" s="26">
        <v>0</v>
      </c>
      <c r="H1232" s="26">
        <v>0</v>
      </c>
      <c r="I1232" s="26">
        <v>0</v>
      </c>
      <c r="J1232" s="26">
        <v>0</v>
      </c>
      <c r="K1232" s="26">
        <v>0</v>
      </c>
      <c r="L1232" s="26">
        <v>0</v>
      </c>
      <c r="M1232" s="26">
        <v>0</v>
      </c>
      <c r="N1232" s="26">
        <v>0</v>
      </c>
      <c r="O1232" s="285"/>
      <c r="P1232" s="202">
        <v>1216</v>
      </c>
      <c r="Q1232" s="210">
        <v>10</v>
      </c>
      <c r="R1232" s="205" t="s">
        <v>1002</v>
      </c>
      <c r="S1232" s="206" t="s">
        <v>435</v>
      </c>
      <c r="T1232" s="211">
        <v>0</v>
      </c>
      <c r="U1232" s="211">
        <v>0</v>
      </c>
      <c r="V1232" s="213">
        <v>0</v>
      </c>
      <c r="W1232" s="213">
        <v>0</v>
      </c>
    </row>
    <row r="1233" spans="1:23" ht="15" customHeight="1">
      <c r="C1233" s="3">
        <v>10</v>
      </c>
      <c r="D1233" s="15" t="s">
        <v>932</v>
      </c>
      <c r="E1233" s="312" t="s">
        <v>157</v>
      </c>
      <c r="G1233" s="26">
        <v>0</v>
      </c>
      <c r="H1233" s="26">
        <v>0</v>
      </c>
      <c r="I1233" s="26">
        <v>0</v>
      </c>
      <c r="J1233" s="26">
        <v>0</v>
      </c>
      <c r="K1233" s="26">
        <v>0</v>
      </c>
      <c r="L1233" s="26">
        <v>9</v>
      </c>
      <c r="M1233" s="26">
        <v>0</v>
      </c>
      <c r="N1233" s="26">
        <v>0</v>
      </c>
      <c r="O1233" s="285"/>
      <c r="P1233" s="202">
        <v>1217</v>
      </c>
      <c r="Q1233" s="210">
        <v>10</v>
      </c>
      <c r="R1233" s="205" t="s">
        <v>1003</v>
      </c>
      <c r="S1233" s="206" t="s">
        <v>232</v>
      </c>
      <c r="T1233" s="211">
        <v>800</v>
      </c>
      <c r="U1233" s="211">
        <v>1634.17</v>
      </c>
      <c r="V1233" s="213">
        <v>2062.3200000000002</v>
      </c>
      <c r="W1233" s="213">
        <v>257.79000000000002</v>
      </c>
    </row>
    <row r="1234" spans="1:23" ht="15" customHeight="1">
      <c r="C1234" s="3">
        <v>10</v>
      </c>
      <c r="D1234" s="15" t="s">
        <v>933</v>
      </c>
      <c r="E1234" s="312" t="s">
        <v>159</v>
      </c>
      <c r="G1234" s="26">
        <v>20318</v>
      </c>
      <c r="H1234" s="26">
        <v>2978</v>
      </c>
      <c r="I1234" s="26">
        <v>12013</v>
      </c>
      <c r="J1234" s="26">
        <v>24352</v>
      </c>
      <c r="K1234" s="26">
        <v>38739</v>
      </c>
      <c r="L1234" s="26">
        <v>57070</v>
      </c>
      <c r="M1234" s="26">
        <v>63075</v>
      </c>
      <c r="N1234" s="26">
        <v>45021</v>
      </c>
      <c r="O1234" s="295" t="s">
        <v>2856</v>
      </c>
      <c r="P1234" s="202">
        <v>1218</v>
      </c>
      <c r="Q1234" s="210">
        <v>10</v>
      </c>
      <c r="R1234" s="205" t="s">
        <v>1004</v>
      </c>
      <c r="S1234" s="206" t="s">
        <v>234</v>
      </c>
      <c r="T1234" s="211">
        <v>0</v>
      </c>
      <c r="U1234" s="211">
        <v>0</v>
      </c>
      <c r="V1234" s="213">
        <v>0</v>
      </c>
      <c r="W1234" s="213">
        <v>0</v>
      </c>
    </row>
    <row r="1235" spans="1:23" ht="15" customHeight="1">
      <c r="C1235" s="3">
        <v>10</v>
      </c>
      <c r="D1235" s="15" t="s">
        <v>934</v>
      </c>
      <c r="E1235" s="312" t="s">
        <v>229</v>
      </c>
      <c r="G1235" s="26">
        <v>1246</v>
      </c>
      <c r="H1235" s="26">
        <v>664</v>
      </c>
      <c r="I1235" s="26">
        <v>4278</v>
      </c>
      <c r="J1235" s="26">
        <v>8501</v>
      </c>
      <c r="K1235" s="26">
        <v>8394</v>
      </c>
      <c r="L1235" s="26">
        <v>24352</v>
      </c>
      <c r="M1235" s="26">
        <v>26491</v>
      </c>
      <c r="N1235" s="26">
        <v>7222</v>
      </c>
      <c r="O1235" s="295" t="s">
        <v>2856</v>
      </c>
      <c r="P1235" s="202">
        <v>1219</v>
      </c>
      <c r="Q1235" s="210">
        <v>10</v>
      </c>
      <c r="R1235" s="205" t="s">
        <v>1005</v>
      </c>
      <c r="S1235" s="206" t="s">
        <v>236</v>
      </c>
      <c r="T1235" s="211">
        <v>0</v>
      </c>
      <c r="U1235" s="211">
        <v>0</v>
      </c>
      <c r="V1235" s="213">
        <v>0</v>
      </c>
      <c r="W1235" s="213">
        <v>0</v>
      </c>
    </row>
    <row r="1236" spans="1:23" ht="15" customHeight="1">
      <c r="C1236" s="3">
        <v>10</v>
      </c>
      <c r="D1236" s="15" t="s">
        <v>935</v>
      </c>
      <c r="E1236" s="312" t="s">
        <v>162</v>
      </c>
      <c r="G1236" s="26">
        <v>0</v>
      </c>
      <c r="H1236" s="26">
        <v>0</v>
      </c>
      <c r="I1236" s="26">
        <v>0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85"/>
      <c r="P1236" s="202">
        <v>1220</v>
      </c>
      <c r="Q1236" s="210">
        <v>10</v>
      </c>
      <c r="R1236" s="205" t="s">
        <v>1006</v>
      </c>
      <c r="S1236" s="206" t="s">
        <v>1007</v>
      </c>
      <c r="T1236" s="211">
        <v>7500</v>
      </c>
      <c r="U1236" s="211">
        <v>0</v>
      </c>
      <c r="V1236" s="213">
        <v>8287.41</v>
      </c>
      <c r="W1236" s="213">
        <v>110.5</v>
      </c>
    </row>
    <row r="1237" spans="1:23" ht="15" customHeight="1">
      <c r="G1237" s="26"/>
      <c r="H1237" s="26"/>
      <c r="I1237" s="26"/>
      <c r="J1237" s="26"/>
      <c r="K1237" s="26"/>
      <c r="L1237" s="26"/>
      <c r="M1237" s="26"/>
      <c r="N1237" s="26"/>
      <c r="P1237" s="202">
        <v>1221</v>
      </c>
      <c r="Q1237" s="210">
        <v>10</v>
      </c>
      <c r="R1237" s="205" t="s">
        <v>1008</v>
      </c>
      <c r="S1237" s="206" t="s">
        <v>1009</v>
      </c>
      <c r="T1237" s="211">
        <v>0</v>
      </c>
      <c r="U1237" s="211">
        <v>0</v>
      </c>
      <c r="V1237" s="213">
        <v>0</v>
      </c>
      <c r="W1237" s="213">
        <v>0</v>
      </c>
    </row>
    <row r="1238" spans="1:23" s="22" customFormat="1" ht="15" customHeight="1">
      <c r="A1238" s="2" t="s">
        <v>135</v>
      </c>
      <c r="B1238" s="2" t="s">
        <v>2317</v>
      </c>
      <c r="C1238" s="3"/>
      <c r="D1238" s="323" t="s">
        <v>2130</v>
      </c>
      <c r="E1238" s="323"/>
      <c r="F1238" s="324"/>
      <c r="G1238" s="325">
        <f>SUM(G1216:G1237)</f>
        <v>55051</v>
      </c>
      <c r="H1238" s="325">
        <f t="shared" ref="H1238:N1238" si="102">SUM(H1216:H1237)</f>
        <v>58011</v>
      </c>
      <c r="I1238" s="325">
        <f t="shared" si="102"/>
        <v>100421</v>
      </c>
      <c r="J1238" s="325">
        <f t="shared" si="102"/>
        <v>133073</v>
      </c>
      <c r="K1238" s="325">
        <f t="shared" si="102"/>
        <v>138393</v>
      </c>
      <c r="L1238" s="325">
        <f t="shared" si="102"/>
        <v>114115</v>
      </c>
      <c r="M1238" s="325">
        <f t="shared" si="102"/>
        <v>180826</v>
      </c>
      <c r="N1238" s="325">
        <f t="shared" si="102"/>
        <v>149503</v>
      </c>
      <c r="O1238" s="290"/>
      <c r="P1238" s="202">
        <v>1222</v>
      </c>
      <c r="Q1238" s="210">
        <v>10</v>
      </c>
      <c r="R1238" s="205" t="s">
        <v>1010</v>
      </c>
      <c r="S1238" s="206" t="s">
        <v>329</v>
      </c>
      <c r="T1238" s="211">
        <v>0</v>
      </c>
      <c r="U1238" s="211">
        <v>45</v>
      </c>
      <c r="V1238" s="213">
        <v>45</v>
      </c>
      <c r="W1238" s="213">
        <v>0</v>
      </c>
    </row>
    <row r="1239" spans="1:23" s="46" customFormat="1" ht="15" customHeight="1">
      <c r="A1239" s="2"/>
      <c r="B1239" s="2"/>
      <c r="C1239" s="3"/>
      <c r="D1239" s="47"/>
      <c r="E1239" s="47"/>
      <c r="F1239" s="191"/>
      <c r="G1239" s="48"/>
      <c r="H1239" s="48"/>
      <c r="I1239" s="48"/>
      <c r="J1239" s="48"/>
      <c r="K1239" s="48"/>
      <c r="L1239" s="48"/>
      <c r="M1239" s="48"/>
      <c r="N1239" s="48"/>
      <c r="O1239" s="289"/>
      <c r="P1239" s="202">
        <v>1223</v>
      </c>
      <c r="Q1239" s="210">
        <v>10</v>
      </c>
      <c r="R1239" s="205" t="s">
        <v>1011</v>
      </c>
      <c r="S1239" s="206" t="s">
        <v>165</v>
      </c>
      <c r="T1239" s="211">
        <v>0</v>
      </c>
      <c r="U1239" s="211">
        <v>0</v>
      </c>
      <c r="V1239" s="213">
        <v>0</v>
      </c>
      <c r="W1239" s="213">
        <v>0</v>
      </c>
    </row>
    <row r="1240" spans="1:23" ht="15" customHeight="1">
      <c r="D1240" s="47" t="s">
        <v>2131</v>
      </c>
      <c r="G1240" s="26"/>
      <c r="H1240" s="26"/>
      <c r="I1240" s="26"/>
      <c r="J1240" s="26"/>
      <c r="K1240" s="26"/>
      <c r="L1240" s="26"/>
      <c r="M1240" s="26"/>
      <c r="N1240" s="26"/>
      <c r="P1240" s="202">
        <v>1224</v>
      </c>
      <c r="Q1240" s="210">
        <v>10</v>
      </c>
      <c r="R1240" s="205" t="s">
        <v>1012</v>
      </c>
      <c r="S1240" s="206" t="s">
        <v>167</v>
      </c>
      <c r="T1240" s="211">
        <v>1000</v>
      </c>
      <c r="U1240" s="211">
        <v>521.17999999999995</v>
      </c>
      <c r="V1240" s="213">
        <v>1364.18</v>
      </c>
      <c r="W1240" s="213">
        <v>136.41999999999999</v>
      </c>
    </row>
    <row r="1241" spans="1:23" ht="15" customHeight="1">
      <c r="G1241" s="26"/>
      <c r="H1241" s="26"/>
      <c r="I1241" s="26"/>
      <c r="J1241" s="26"/>
      <c r="K1241" s="26"/>
      <c r="L1241" s="26"/>
      <c r="M1241" s="26"/>
      <c r="N1241" s="26"/>
      <c r="P1241" s="202">
        <v>1225</v>
      </c>
      <c r="Q1241" s="210">
        <v>10</v>
      </c>
      <c r="R1241" s="205" t="s">
        <v>1013</v>
      </c>
      <c r="S1241" s="206" t="s">
        <v>169</v>
      </c>
      <c r="T1241" s="211">
        <v>200</v>
      </c>
      <c r="U1241" s="211">
        <v>13.63</v>
      </c>
      <c r="V1241" s="213">
        <v>157.57</v>
      </c>
      <c r="W1241" s="213">
        <v>78.790000000000006</v>
      </c>
    </row>
    <row r="1242" spans="1:23" ht="15" customHeight="1">
      <c r="C1242" s="3">
        <v>10</v>
      </c>
      <c r="D1242" s="15" t="s">
        <v>936</v>
      </c>
      <c r="E1242" s="312" t="s">
        <v>433</v>
      </c>
      <c r="G1242" s="26">
        <v>0</v>
      </c>
      <c r="H1242" s="26">
        <v>0</v>
      </c>
      <c r="I1242" s="26">
        <v>0</v>
      </c>
      <c r="J1242" s="26">
        <v>0</v>
      </c>
      <c r="K1242" s="26">
        <v>0</v>
      </c>
      <c r="L1242" s="26">
        <v>0</v>
      </c>
      <c r="M1242" s="26">
        <v>0</v>
      </c>
      <c r="N1242" s="26">
        <v>0</v>
      </c>
      <c r="O1242" s="285"/>
      <c r="P1242" s="202">
        <v>1226</v>
      </c>
      <c r="Q1242" s="210">
        <v>10</v>
      </c>
      <c r="R1242" s="205" t="s">
        <v>1014</v>
      </c>
      <c r="S1242" s="206" t="s">
        <v>171</v>
      </c>
      <c r="T1242" s="211">
        <v>1500</v>
      </c>
      <c r="U1242" s="211">
        <v>22.48</v>
      </c>
      <c r="V1242" s="213">
        <v>791.01</v>
      </c>
      <c r="W1242" s="213">
        <v>52.73</v>
      </c>
    </row>
    <row r="1243" spans="1:23" ht="15" customHeight="1">
      <c r="C1243" s="3">
        <v>10</v>
      </c>
      <c r="D1243" s="15" t="s">
        <v>937</v>
      </c>
      <c r="E1243" s="312" t="s">
        <v>435</v>
      </c>
      <c r="G1243" s="26">
        <v>0</v>
      </c>
      <c r="H1243" s="26">
        <v>0</v>
      </c>
      <c r="I1243" s="26">
        <v>0</v>
      </c>
      <c r="J1243" s="26">
        <v>0</v>
      </c>
      <c r="K1243" s="26">
        <v>0</v>
      </c>
      <c r="L1243" s="26">
        <v>0</v>
      </c>
      <c r="M1243" s="26">
        <v>0</v>
      </c>
      <c r="N1243" s="26">
        <v>0</v>
      </c>
      <c r="O1243" s="285"/>
      <c r="P1243" s="202">
        <v>1227</v>
      </c>
      <c r="Q1243" s="210">
        <v>10</v>
      </c>
      <c r="R1243" s="205" t="s">
        <v>1015</v>
      </c>
      <c r="S1243" s="206" t="s">
        <v>173</v>
      </c>
      <c r="T1243" s="211">
        <v>2100</v>
      </c>
      <c r="U1243" s="211">
        <v>1122.47</v>
      </c>
      <c r="V1243" s="213">
        <v>2522.84</v>
      </c>
      <c r="W1243" s="213">
        <v>120.14</v>
      </c>
    </row>
    <row r="1244" spans="1:23" ht="15" customHeight="1">
      <c r="C1244" s="3">
        <v>10</v>
      </c>
      <c r="D1244" s="15" t="s">
        <v>938</v>
      </c>
      <c r="E1244" s="312" t="s">
        <v>232</v>
      </c>
      <c r="G1244" s="26">
        <v>0</v>
      </c>
      <c r="H1244" s="26">
        <v>740</v>
      </c>
      <c r="I1244" s="26">
        <v>88</v>
      </c>
      <c r="J1244" s="26">
        <v>611</v>
      </c>
      <c r="K1244" s="26">
        <v>500</v>
      </c>
      <c r="L1244" s="26">
        <v>0</v>
      </c>
      <c r="M1244" s="26">
        <v>500</v>
      </c>
      <c r="N1244" s="26">
        <v>500</v>
      </c>
      <c r="O1244" s="285"/>
      <c r="P1244" s="202">
        <v>1228</v>
      </c>
      <c r="Q1244" s="210">
        <v>10</v>
      </c>
      <c r="R1244" s="205" t="s">
        <v>1016</v>
      </c>
      <c r="S1244" s="206" t="s">
        <v>175</v>
      </c>
      <c r="T1244" s="211">
        <v>0</v>
      </c>
      <c r="U1244" s="211">
        <v>0</v>
      </c>
      <c r="V1244" s="213">
        <v>0</v>
      </c>
      <c r="W1244" s="213">
        <v>0</v>
      </c>
    </row>
    <row r="1245" spans="1:23" ht="15" customHeight="1">
      <c r="C1245" s="3">
        <v>10</v>
      </c>
      <c r="D1245" s="15" t="s">
        <v>939</v>
      </c>
      <c r="E1245" s="312" t="s">
        <v>236</v>
      </c>
      <c r="G1245" s="26">
        <v>0</v>
      </c>
      <c r="H1245" s="26">
        <v>0</v>
      </c>
      <c r="I1245" s="26">
        <v>0</v>
      </c>
      <c r="J1245" s="26">
        <v>0</v>
      </c>
      <c r="K1245" s="26">
        <v>0</v>
      </c>
      <c r="L1245" s="26">
        <v>0</v>
      </c>
      <c r="M1245" s="26">
        <v>0</v>
      </c>
      <c r="N1245" s="26">
        <v>0</v>
      </c>
      <c r="O1245" s="285"/>
      <c r="P1245" s="202">
        <v>1229</v>
      </c>
      <c r="Q1245" s="210">
        <v>10</v>
      </c>
      <c r="R1245" s="205" t="s">
        <v>1017</v>
      </c>
      <c r="S1245" s="206" t="s">
        <v>244</v>
      </c>
      <c r="T1245" s="211">
        <v>500</v>
      </c>
      <c r="U1245" s="211">
        <v>0</v>
      </c>
      <c r="V1245" s="213">
        <v>0</v>
      </c>
      <c r="W1245" s="213">
        <v>0</v>
      </c>
    </row>
    <row r="1246" spans="1:23" ht="15" customHeight="1">
      <c r="C1246" s="3">
        <v>10</v>
      </c>
      <c r="D1246" s="15" t="s">
        <v>940</v>
      </c>
      <c r="E1246" s="312" t="s">
        <v>329</v>
      </c>
      <c r="G1246" s="26">
        <v>0</v>
      </c>
      <c r="H1246" s="26">
        <v>0</v>
      </c>
      <c r="I1246" s="26">
        <v>0</v>
      </c>
      <c r="J1246" s="26">
        <v>0</v>
      </c>
      <c r="K1246" s="26">
        <v>0</v>
      </c>
      <c r="L1246" s="26">
        <v>0</v>
      </c>
      <c r="M1246" s="26">
        <v>0</v>
      </c>
      <c r="N1246" s="26">
        <v>0</v>
      </c>
      <c r="O1246" s="285"/>
      <c r="P1246" s="202">
        <v>1230</v>
      </c>
      <c r="Q1246" s="210">
        <v>10</v>
      </c>
      <c r="R1246" s="205" t="s">
        <v>1018</v>
      </c>
      <c r="S1246" s="206" t="s">
        <v>1019</v>
      </c>
      <c r="T1246" s="211">
        <v>100</v>
      </c>
      <c r="U1246" s="211">
        <v>0</v>
      </c>
      <c r="V1246" s="213">
        <v>0</v>
      </c>
      <c r="W1246" s="213">
        <v>0</v>
      </c>
    </row>
    <row r="1247" spans="1:23" ht="15" customHeight="1">
      <c r="C1247" s="3">
        <v>10</v>
      </c>
      <c r="D1247" s="15" t="s">
        <v>941</v>
      </c>
      <c r="E1247" s="312" t="s">
        <v>165</v>
      </c>
      <c r="G1247" s="26">
        <v>0</v>
      </c>
      <c r="H1247" s="26">
        <v>0</v>
      </c>
      <c r="I1247" s="26">
        <v>0</v>
      </c>
      <c r="J1247" s="26">
        <v>144</v>
      </c>
      <c r="K1247" s="26">
        <v>500</v>
      </c>
      <c r="L1247" s="26">
        <v>407</v>
      </c>
      <c r="M1247" s="26">
        <v>500</v>
      </c>
      <c r="N1247" s="26">
        <v>500</v>
      </c>
      <c r="O1247" s="285"/>
      <c r="P1247" s="202">
        <v>1231</v>
      </c>
      <c r="Q1247" s="210">
        <v>10</v>
      </c>
      <c r="R1247" s="205" t="s">
        <v>2623</v>
      </c>
      <c r="S1247" s="206"/>
      <c r="T1247" s="211"/>
      <c r="U1247" s="211"/>
      <c r="V1247" s="213"/>
      <c r="W1247" s="213"/>
    </row>
    <row r="1248" spans="1:23" ht="15" customHeight="1">
      <c r="C1248" s="3">
        <v>10</v>
      </c>
      <c r="D1248" s="15" t="s">
        <v>942</v>
      </c>
      <c r="E1248" s="312" t="s">
        <v>167</v>
      </c>
      <c r="G1248" s="26">
        <v>0</v>
      </c>
      <c r="H1248" s="26">
        <v>265</v>
      </c>
      <c r="I1248" s="26">
        <v>101</v>
      </c>
      <c r="J1248" s="26">
        <v>4</v>
      </c>
      <c r="K1248" s="26">
        <v>250</v>
      </c>
      <c r="L1248" s="26">
        <v>59</v>
      </c>
      <c r="M1248" s="26">
        <v>250</v>
      </c>
      <c r="N1248" s="26">
        <v>250</v>
      </c>
      <c r="O1248" s="285"/>
      <c r="P1248" s="202">
        <v>1232</v>
      </c>
      <c r="Q1248" s="210">
        <v>10</v>
      </c>
      <c r="R1248" s="205" t="s">
        <v>163</v>
      </c>
      <c r="S1248" s="206"/>
      <c r="T1248" s="211">
        <v>18700</v>
      </c>
      <c r="U1248" s="211">
        <v>3358.93</v>
      </c>
      <c r="V1248" s="213">
        <v>15834.11</v>
      </c>
      <c r="W1248" s="213">
        <v>0</v>
      </c>
    </row>
    <row r="1249" spans="1:23" ht="15" customHeight="1">
      <c r="C1249" s="3">
        <v>10</v>
      </c>
      <c r="D1249" s="15" t="s">
        <v>943</v>
      </c>
      <c r="E1249" s="312" t="s">
        <v>169</v>
      </c>
      <c r="G1249" s="26">
        <v>3630</v>
      </c>
      <c r="H1249" s="26">
        <v>3167</v>
      </c>
      <c r="I1249" s="26">
        <v>1504</v>
      </c>
      <c r="J1249" s="26">
        <v>1375</v>
      </c>
      <c r="K1249" s="26">
        <v>1650</v>
      </c>
      <c r="L1249" s="26">
        <v>425</v>
      </c>
      <c r="M1249" s="26">
        <v>1650</v>
      </c>
      <c r="N1249" s="26">
        <v>1650</v>
      </c>
      <c r="O1249" s="285"/>
      <c r="P1249" s="202">
        <v>1233</v>
      </c>
      <c r="Q1249" s="210">
        <v>10</v>
      </c>
      <c r="R1249" s="205" t="s">
        <v>245</v>
      </c>
      <c r="S1249" s="206"/>
      <c r="T1249" s="211"/>
      <c r="U1249" s="211"/>
      <c r="V1249" s="213"/>
      <c r="W1249" s="213"/>
    </row>
    <row r="1250" spans="1:23" ht="15" customHeight="1">
      <c r="C1250" s="3">
        <v>10</v>
      </c>
      <c r="D1250" s="15" t="s">
        <v>944</v>
      </c>
      <c r="E1250" s="312" t="s">
        <v>171</v>
      </c>
      <c r="G1250" s="26">
        <v>837</v>
      </c>
      <c r="H1250" s="26">
        <v>10692</v>
      </c>
      <c r="I1250" s="26">
        <v>8846</v>
      </c>
      <c r="J1250" s="26">
        <v>3438</v>
      </c>
      <c r="K1250" s="26">
        <v>3000</v>
      </c>
      <c r="L1250" s="26">
        <v>2234</v>
      </c>
      <c r="M1250" s="26">
        <v>4400</v>
      </c>
      <c r="N1250" s="26">
        <v>4400</v>
      </c>
      <c r="O1250" s="285" t="s">
        <v>2812</v>
      </c>
      <c r="P1250" s="202">
        <v>1234</v>
      </c>
      <c r="Q1250" s="210">
        <v>10</v>
      </c>
      <c r="R1250" s="205" t="s">
        <v>2628</v>
      </c>
      <c r="S1250" s="206"/>
      <c r="T1250" s="211"/>
      <c r="U1250" s="211"/>
      <c r="V1250" s="213"/>
      <c r="W1250" s="213"/>
    </row>
    <row r="1251" spans="1:23" ht="15" customHeight="1">
      <c r="C1251" s="3">
        <v>10</v>
      </c>
      <c r="D1251" s="15" t="s">
        <v>945</v>
      </c>
      <c r="E1251" s="312" t="s">
        <v>173</v>
      </c>
      <c r="G1251" s="26">
        <v>11</v>
      </c>
      <c r="H1251" s="26">
        <v>0</v>
      </c>
      <c r="I1251" s="26">
        <v>0</v>
      </c>
      <c r="J1251" s="26">
        <v>54</v>
      </c>
      <c r="K1251" s="26">
        <v>0</v>
      </c>
      <c r="L1251" s="26">
        <v>21</v>
      </c>
      <c r="M1251" s="26">
        <v>0</v>
      </c>
      <c r="N1251" s="26">
        <v>0</v>
      </c>
      <c r="O1251" s="285"/>
      <c r="P1251" s="202">
        <v>1235</v>
      </c>
      <c r="Q1251" s="210">
        <v>10</v>
      </c>
      <c r="R1251" s="205" t="s">
        <v>1020</v>
      </c>
      <c r="S1251" s="206" t="s">
        <v>232</v>
      </c>
      <c r="T1251" s="211">
        <v>0</v>
      </c>
      <c r="U1251" s="211">
        <v>0</v>
      </c>
      <c r="V1251" s="213">
        <v>0</v>
      </c>
      <c r="W1251" s="213">
        <v>0</v>
      </c>
    </row>
    <row r="1252" spans="1:23" ht="15" customHeight="1">
      <c r="C1252" s="3">
        <v>10</v>
      </c>
      <c r="D1252" s="15" t="s">
        <v>946</v>
      </c>
      <c r="E1252" s="312" t="s">
        <v>175</v>
      </c>
      <c r="G1252" s="26">
        <v>22</v>
      </c>
      <c r="H1252" s="26">
        <v>0</v>
      </c>
      <c r="I1252" s="26">
        <v>0</v>
      </c>
      <c r="J1252" s="26">
        <v>0</v>
      </c>
      <c r="K1252" s="26">
        <v>0</v>
      </c>
      <c r="L1252" s="26">
        <v>0</v>
      </c>
      <c r="M1252" s="26">
        <v>0</v>
      </c>
      <c r="N1252" s="26">
        <v>0</v>
      </c>
      <c r="O1252" s="285"/>
      <c r="P1252" s="202">
        <v>1236</v>
      </c>
      <c r="Q1252" s="210">
        <v>10</v>
      </c>
      <c r="R1252" s="205" t="s">
        <v>1021</v>
      </c>
      <c r="S1252" s="206" t="s">
        <v>1007</v>
      </c>
      <c r="T1252" s="211">
        <v>0</v>
      </c>
      <c r="U1252" s="211">
        <v>0</v>
      </c>
      <c r="V1252" s="213">
        <v>0</v>
      </c>
      <c r="W1252" s="213">
        <v>0</v>
      </c>
    </row>
    <row r="1253" spans="1:23" ht="15" customHeight="1">
      <c r="C1253" s="3">
        <v>10</v>
      </c>
      <c r="D1253" s="15" t="s">
        <v>947</v>
      </c>
      <c r="E1253" s="312" t="s">
        <v>773</v>
      </c>
      <c r="G1253" s="26">
        <v>0</v>
      </c>
      <c r="H1253" s="26">
        <v>0</v>
      </c>
      <c r="I1253" s="26">
        <v>0</v>
      </c>
      <c r="J1253" s="26">
        <v>0</v>
      </c>
      <c r="K1253" s="26">
        <v>0</v>
      </c>
      <c r="L1253" s="26">
        <v>0</v>
      </c>
      <c r="M1253" s="26">
        <v>0</v>
      </c>
      <c r="N1253" s="26">
        <v>0</v>
      </c>
      <c r="O1253" s="285"/>
      <c r="P1253" s="202">
        <v>1237</v>
      </c>
      <c r="Q1253" s="210">
        <v>10</v>
      </c>
      <c r="R1253" s="205" t="s">
        <v>1022</v>
      </c>
      <c r="S1253" s="206" t="s">
        <v>1023</v>
      </c>
      <c r="T1253" s="211">
        <v>0</v>
      </c>
      <c r="U1253" s="211">
        <v>0</v>
      </c>
      <c r="V1253" s="213">
        <v>0</v>
      </c>
      <c r="W1253" s="213">
        <v>0</v>
      </c>
    </row>
    <row r="1254" spans="1:23" ht="15" customHeight="1">
      <c r="C1254" s="3">
        <v>10</v>
      </c>
      <c r="D1254" s="15" t="s">
        <v>948</v>
      </c>
      <c r="E1254" s="312" t="s">
        <v>244</v>
      </c>
      <c r="G1254" s="26">
        <v>0</v>
      </c>
      <c r="H1254" s="26">
        <v>0</v>
      </c>
      <c r="I1254" s="26">
        <v>0</v>
      </c>
      <c r="J1254" s="26">
        <v>0</v>
      </c>
      <c r="K1254" s="26">
        <v>0</v>
      </c>
      <c r="L1254" s="26">
        <v>0</v>
      </c>
      <c r="M1254" s="26"/>
      <c r="N1254" s="26"/>
      <c r="P1254" s="202">
        <v>1238</v>
      </c>
      <c r="Q1254" s="210">
        <v>10</v>
      </c>
      <c r="R1254" s="205" t="s">
        <v>1024</v>
      </c>
      <c r="S1254" s="206" t="s">
        <v>329</v>
      </c>
      <c r="T1254" s="211">
        <v>0</v>
      </c>
      <c r="U1254" s="211">
        <v>0</v>
      </c>
      <c r="V1254" s="213">
        <v>0</v>
      </c>
      <c r="W1254" s="213">
        <v>0</v>
      </c>
    </row>
    <row r="1255" spans="1:23" ht="15" customHeight="1">
      <c r="G1255" s="26"/>
      <c r="H1255" s="26"/>
      <c r="I1255" s="26"/>
      <c r="J1255" s="26"/>
      <c r="K1255" s="26"/>
      <c r="L1255" s="26"/>
      <c r="M1255" s="26"/>
      <c r="N1255" s="26"/>
      <c r="P1255" s="202">
        <v>1239</v>
      </c>
      <c r="Q1255" s="210">
        <v>10</v>
      </c>
      <c r="R1255" s="205" t="s">
        <v>1025</v>
      </c>
      <c r="S1255" s="206" t="s">
        <v>165</v>
      </c>
      <c r="T1255" s="211">
        <v>0</v>
      </c>
      <c r="U1255" s="211">
        <v>0</v>
      </c>
      <c r="V1255" s="213">
        <v>0</v>
      </c>
      <c r="W1255" s="213">
        <v>0</v>
      </c>
    </row>
    <row r="1256" spans="1:23" s="23" customFormat="1" ht="15" customHeight="1">
      <c r="A1256" s="2" t="s">
        <v>163</v>
      </c>
      <c r="B1256" s="2" t="s">
        <v>2317</v>
      </c>
      <c r="C1256" s="3"/>
      <c r="D1256" s="323" t="s">
        <v>2132</v>
      </c>
      <c r="E1256" s="323"/>
      <c r="F1256" s="324"/>
      <c r="G1256" s="325">
        <f>SUM(G1240:G1255)</f>
        <v>4500</v>
      </c>
      <c r="H1256" s="325">
        <f t="shared" ref="H1256:N1256" si="103">SUM(H1240:H1255)</f>
        <v>14864</v>
      </c>
      <c r="I1256" s="325">
        <f t="shared" si="103"/>
        <v>10539</v>
      </c>
      <c r="J1256" s="325">
        <f t="shared" si="103"/>
        <v>5626</v>
      </c>
      <c r="K1256" s="325">
        <f t="shared" si="103"/>
        <v>5900</v>
      </c>
      <c r="L1256" s="325">
        <f t="shared" si="103"/>
        <v>3146</v>
      </c>
      <c r="M1256" s="325">
        <f t="shared" si="103"/>
        <v>7300</v>
      </c>
      <c r="N1256" s="325">
        <f t="shared" si="103"/>
        <v>7300</v>
      </c>
      <c r="O1256" s="291"/>
      <c r="P1256" s="202">
        <v>1240</v>
      </c>
      <c r="Q1256" s="210">
        <v>10</v>
      </c>
      <c r="R1256" s="205" t="s">
        <v>1026</v>
      </c>
      <c r="S1256" s="206" t="s">
        <v>167</v>
      </c>
      <c r="T1256" s="211">
        <v>0</v>
      </c>
      <c r="U1256" s="211">
        <v>0</v>
      </c>
      <c r="V1256" s="213">
        <v>0</v>
      </c>
      <c r="W1256" s="213">
        <v>0</v>
      </c>
    </row>
    <row r="1257" spans="1:23" s="46" customFormat="1" ht="15" customHeight="1">
      <c r="A1257" s="2"/>
      <c r="B1257" s="2"/>
      <c r="C1257" s="3"/>
      <c r="D1257" s="47"/>
      <c r="E1257" s="47"/>
      <c r="F1257" s="191"/>
      <c r="G1257" s="48"/>
      <c r="H1257" s="48"/>
      <c r="I1257" s="48"/>
      <c r="J1257" s="48"/>
      <c r="K1257" s="48"/>
      <c r="L1257" s="48"/>
      <c r="M1257" s="48"/>
      <c r="N1257" s="48"/>
      <c r="O1257" s="289"/>
      <c r="P1257" s="202">
        <v>1241</v>
      </c>
      <c r="Q1257" s="210">
        <v>10</v>
      </c>
      <c r="R1257" s="205" t="s">
        <v>1027</v>
      </c>
      <c r="S1257" s="206" t="s">
        <v>247</v>
      </c>
      <c r="T1257" s="211">
        <v>0</v>
      </c>
      <c r="U1257" s="211">
        <v>0</v>
      </c>
      <c r="V1257" s="213">
        <v>0</v>
      </c>
      <c r="W1257" s="213">
        <v>0</v>
      </c>
    </row>
    <row r="1258" spans="1:23" ht="15" customHeight="1">
      <c r="D1258" s="47" t="s">
        <v>2133</v>
      </c>
      <c r="G1258" s="26"/>
      <c r="H1258" s="26"/>
      <c r="I1258" s="26"/>
      <c r="J1258" s="26"/>
      <c r="K1258" s="26"/>
      <c r="L1258" s="26"/>
      <c r="M1258" s="26"/>
      <c r="N1258" s="26"/>
      <c r="P1258" s="202">
        <v>1242</v>
      </c>
      <c r="Q1258" s="210">
        <v>10</v>
      </c>
      <c r="R1258" s="205" t="s">
        <v>1028</v>
      </c>
      <c r="S1258" s="206" t="s">
        <v>461</v>
      </c>
      <c r="T1258" s="211">
        <v>0</v>
      </c>
      <c r="U1258" s="211">
        <v>0</v>
      </c>
      <c r="V1258" s="213">
        <v>0</v>
      </c>
      <c r="W1258" s="213">
        <v>0</v>
      </c>
    </row>
    <row r="1259" spans="1:23" ht="15" customHeight="1">
      <c r="G1259" s="26"/>
      <c r="H1259" s="26"/>
      <c r="I1259" s="26"/>
      <c r="J1259" s="26"/>
      <c r="K1259" s="26"/>
      <c r="L1259" s="26"/>
      <c r="M1259" s="26"/>
      <c r="N1259" s="26"/>
      <c r="P1259" s="202">
        <v>1243</v>
      </c>
      <c r="Q1259" s="210">
        <v>10</v>
      </c>
      <c r="R1259" s="205" t="s">
        <v>1029</v>
      </c>
      <c r="S1259" s="206" t="s">
        <v>382</v>
      </c>
      <c r="T1259" s="211">
        <v>0</v>
      </c>
      <c r="U1259" s="211">
        <v>0</v>
      </c>
      <c r="V1259" s="213">
        <v>0</v>
      </c>
      <c r="W1259" s="213">
        <v>0</v>
      </c>
    </row>
    <row r="1260" spans="1:23" ht="15" customHeight="1">
      <c r="C1260" s="3">
        <v>10</v>
      </c>
      <c r="D1260" s="15" t="s">
        <v>949</v>
      </c>
      <c r="E1260" s="312" t="s">
        <v>329</v>
      </c>
      <c r="G1260" s="26">
        <v>0</v>
      </c>
      <c r="H1260" s="26">
        <v>0</v>
      </c>
      <c r="I1260" s="26">
        <v>0</v>
      </c>
      <c r="J1260" s="26">
        <v>0</v>
      </c>
      <c r="K1260" s="26">
        <v>0</v>
      </c>
      <c r="L1260" s="26">
        <v>0</v>
      </c>
      <c r="M1260" s="26">
        <v>0</v>
      </c>
      <c r="N1260" s="26">
        <v>0</v>
      </c>
      <c r="O1260" s="285"/>
      <c r="P1260" s="202">
        <v>1244</v>
      </c>
      <c r="Q1260" s="210">
        <v>10</v>
      </c>
      <c r="R1260" s="205" t="s">
        <v>1030</v>
      </c>
      <c r="S1260" s="206" t="s">
        <v>173</v>
      </c>
      <c r="T1260" s="211">
        <v>0</v>
      </c>
      <c r="U1260" s="211">
        <v>0</v>
      </c>
      <c r="V1260" s="213">
        <v>0</v>
      </c>
      <c r="W1260" s="213">
        <v>0</v>
      </c>
    </row>
    <row r="1261" spans="1:23" ht="15" customHeight="1">
      <c r="C1261" s="3">
        <v>10</v>
      </c>
      <c r="D1261" s="15" t="s">
        <v>950</v>
      </c>
      <c r="E1261" s="312" t="s">
        <v>165</v>
      </c>
      <c r="G1261" s="26">
        <v>0</v>
      </c>
      <c r="H1261" s="26">
        <v>0</v>
      </c>
      <c r="I1261" s="26">
        <v>0</v>
      </c>
      <c r="J1261" s="26">
        <v>0</v>
      </c>
      <c r="K1261" s="26">
        <v>0</v>
      </c>
      <c r="L1261" s="26">
        <v>0</v>
      </c>
      <c r="M1261" s="26">
        <v>0</v>
      </c>
      <c r="N1261" s="26">
        <v>0</v>
      </c>
      <c r="O1261" s="285"/>
      <c r="P1261" s="202">
        <v>1245</v>
      </c>
      <c r="Q1261" s="210">
        <v>10</v>
      </c>
      <c r="R1261" s="205" t="s">
        <v>1031</v>
      </c>
      <c r="S1261" s="206" t="s">
        <v>244</v>
      </c>
      <c r="T1261" s="211">
        <v>0</v>
      </c>
      <c r="U1261" s="211">
        <v>0</v>
      </c>
      <c r="V1261" s="213">
        <v>0</v>
      </c>
      <c r="W1261" s="213">
        <v>0</v>
      </c>
    </row>
    <row r="1262" spans="1:23" ht="15" customHeight="1">
      <c r="C1262" s="3">
        <v>10</v>
      </c>
      <c r="D1262" s="15" t="s">
        <v>951</v>
      </c>
      <c r="E1262" s="312" t="s">
        <v>167</v>
      </c>
      <c r="G1262" s="26">
        <v>0</v>
      </c>
      <c r="H1262" s="26">
        <v>0</v>
      </c>
      <c r="I1262" s="26">
        <v>0</v>
      </c>
      <c r="J1262" s="26">
        <v>0</v>
      </c>
      <c r="K1262" s="26">
        <v>0</v>
      </c>
      <c r="L1262" s="26">
        <v>0</v>
      </c>
      <c r="M1262" s="26">
        <v>0</v>
      </c>
      <c r="N1262" s="26">
        <v>0</v>
      </c>
      <c r="O1262" s="285"/>
      <c r="P1262" s="202">
        <v>1246</v>
      </c>
      <c r="Q1262" s="210">
        <v>10</v>
      </c>
      <c r="R1262" s="205" t="s">
        <v>2623</v>
      </c>
      <c r="S1262" s="206"/>
      <c r="T1262" s="211"/>
      <c r="U1262" s="211"/>
      <c r="V1262" s="213"/>
      <c r="W1262" s="213"/>
    </row>
    <row r="1263" spans="1:23" ht="15" customHeight="1">
      <c r="C1263" s="3">
        <v>10</v>
      </c>
      <c r="D1263" s="15" t="s">
        <v>952</v>
      </c>
      <c r="E1263" s="312" t="s">
        <v>247</v>
      </c>
      <c r="G1263" s="26">
        <v>0</v>
      </c>
      <c r="H1263" s="26">
        <v>9912</v>
      </c>
      <c r="I1263" s="26">
        <v>0</v>
      </c>
      <c r="J1263" s="26">
        <v>0</v>
      </c>
      <c r="K1263" s="26">
        <v>30000</v>
      </c>
      <c r="L1263" s="26">
        <v>25137</v>
      </c>
      <c r="M1263" s="26">
        <v>30000</v>
      </c>
      <c r="N1263" s="26">
        <v>0</v>
      </c>
      <c r="O1263" s="285"/>
      <c r="P1263" s="202">
        <v>1247</v>
      </c>
      <c r="Q1263" s="210">
        <v>10</v>
      </c>
      <c r="R1263" s="205" t="s">
        <v>245</v>
      </c>
      <c r="S1263" s="206"/>
      <c r="T1263" s="211">
        <v>0</v>
      </c>
      <c r="U1263" s="211">
        <v>0</v>
      </c>
      <c r="V1263" s="213">
        <v>0</v>
      </c>
      <c r="W1263" s="213">
        <v>0</v>
      </c>
    </row>
    <row r="1264" spans="1:23" ht="15" customHeight="1">
      <c r="C1264" s="3">
        <v>10</v>
      </c>
      <c r="D1264" s="15" t="s">
        <v>953</v>
      </c>
      <c r="E1264" s="312" t="s">
        <v>461</v>
      </c>
      <c r="G1264" s="26">
        <v>0</v>
      </c>
      <c r="H1264" s="26">
        <v>11700</v>
      </c>
      <c r="I1264" s="26">
        <v>-97585</v>
      </c>
      <c r="J1264" s="26">
        <v>0</v>
      </c>
      <c r="K1264" s="26">
        <v>-24000</v>
      </c>
      <c r="L1264" s="26">
        <v>0</v>
      </c>
      <c r="M1264" s="26">
        <v>-24000</v>
      </c>
      <c r="N1264" s="26">
        <v>0</v>
      </c>
      <c r="O1264" s="285"/>
      <c r="P1264" s="202">
        <v>1248</v>
      </c>
      <c r="Q1264" s="210">
        <v>10</v>
      </c>
      <c r="R1264" s="205" t="s">
        <v>2623</v>
      </c>
      <c r="S1264" s="206"/>
      <c r="T1264" s="211"/>
      <c r="U1264" s="211"/>
      <c r="V1264" s="213"/>
      <c r="W1264" s="213"/>
    </row>
    <row r="1265" spans="1:23" ht="15" customHeight="1">
      <c r="C1265" s="3">
        <v>10</v>
      </c>
      <c r="D1265" s="15" t="s">
        <v>954</v>
      </c>
      <c r="E1265" s="312" t="s">
        <v>382</v>
      </c>
      <c r="G1265" s="26">
        <v>20000</v>
      </c>
      <c r="H1265" s="26">
        <v>145386</v>
      </c>
      <c r="I1265" s="26">
        <v>0</v>
      </c>
      <c r="J1265" s="26">
        <v>0</v>
      </c>
      <c r="K1265" s="26">
        <v>0</v>
      </c>
      <c r="L1265" s="26">
        <v>0</v>
      </c>
      <c r="M1265" s="26">
        <v>0</v>
      </c>
      <c r="N1265" s="26">
        <v>0</v>
      </c>
      <c r="O1265" s="285" t="s">
        <v>2935</v>
      </c>
      <c r="P1265" s="202">
        <v>1249</v>
      </c>
      <c r="Q1265" s="210">
        <v>10</v>
      </c>
      <c r="R1265" s="205" t="s">
        <v>13</v>
      </c>
      <c r="S1265" s="206"/>
      <c r="T1265" s="211">
        <v>197024</v>
      </c>
      <c r="U1265" s="211">
        <v>17168.669999999998</v>
      </c>
      <c r="V1265" s="213">
        <v>114332.54</v>
      </c>
      <c r="W1265" s="213">
        <v>58.03</v>
      </c>
    </row>
    <row r="1266" spans="1:23" ht="15" customHeight="1">
      <c r="C1266" s="3">
        <v>10</v>
      </c>
      <c r="D1266" s="15" t="s">
        <v>955</v>
      </c>
      <c r="E1266" s="312" t="s">
        <v>173</v>
      </c>
      <c r="G1266" s="26">
        <v>0</v>
      </c>
      <c r="H1266" s="26">
        <v>0</v>
      </c>
      <c r="I1266" s="26">
        <v>0</v>
      </c>
      <c r="J1266" s="26">
        <v>0</v>
      </c>
      <c r="K1266" s="26">
        <v>0</v>
      </c>
      <c r="L1266" s="26">
        <v>0</v>
      </c>
      <c r="M1266" s="26">
        <v>0</v>
      </c>
      <c r="N1266" s="26">
        <v>0</v>
      </c>
      <c r="O1266" s="285"/>
      <c r="P1266" s="202">
        <v>1250</v>
      </c>
      <c r="Q1266" s="210">
        <v>10</v>
      </c>
      <c r="R1266" s="205" t="s">
        <v>2621</v>
      </c>
      <c r="S1266" s="206"/>
      <c r="T1266" s="211"/>
      <c r="U1266" s="211"/>
      <c r="V1266" s="213"/>
      <c r="W1266" s="213"/>
    </row>
    <row r="1267" spans="1:23" ht="15" customHeight="1">
      <c r="C1267" s="3">
        <v>10</v>
      </c>
      <c r="D1267" s="15" t="s">
        <v>956</v>
      </c>
      <c r="E1267" s="312" t="s">
        <v>244</v>
      </c>
      <c r="G1267" s="26">
        <v>0</v>
      </c>
      <c r="H1267" s="26">
        <v>0</v>
      </c>
      <c r="I1267" s="26">
        <v>0</v>
      </c>
      <c r="J1267" s="26">
        <v>0</v>
      </c>
      <c r="K1267" s="26">
        <v>0</v>
      </c>
      <c r="L1267" s="26">
        <v>0</v>
      </c>
      <c r="M1267" s="26">
        <v>0</v>
      </c>
      <c r="N1267" s="26">
        <v>0</v>
      </c>
      <c r="O1267" s="285"/>
      <c r="P1267" s="202">
        <v>1251</v>
      </c>
      <c r="Q1267" s="210">
        <v>10</v>
      </c>
      <c r="R1267" s="205" t="s">
        <v>2622</v>
      </c>
      <c r="S1267" s="206"/>
      <c r="T1267" s="211"/>
      <c r="U1267" s="211"/>
      <c r="V1267" s="213"/>
      <c r="W1267" s="213"/>
    </row>
    <row r="1268" spans="1:23" ht="15" customHeight="1">
      <c r="G1268" s="26"/>
      <c r="H1268" s="26"/>
      <c r="I1268" s="26"/>
      <c r="J1268" s="26"/>
      <c r="K1268" s="26"/>
      <c r="L1268" s="26"/>
      <c r="M1268" s="26"/>
      <c r="N1268" s="26"/>
      <c r="P1268" s="202">
        <v>1252</v>
      </c>
      <c r="Q1268" s="210">
        <v>10</v>
      </c>
      <c r="R1268" s="205" t="s">
        <v>1032</v>
      </c>
      <c r="S1268" s="206" t="s">
        <v>79</v>
      </c>
      <c r="T1268" s="211">
        <v>29496</v>
      </c>
      <c r="U1268" s="211">
        <v>2546</v>
      </c>
      <c r="V1268" s="213">
        <v>20368</v>
      </c>
      <c r="W1268" s="213">
        <v>69.05</v>
      </c>
    </row>
    <row r="1269" spans="1:23" s="24" customFormat="1" ht="15" customHeight="1">
      <c r="A1269" s="2" t="s">
        <v>245</v>
      </c>
      <c r="B1269" s="2" t="s">
        <v>2317</v>
      </c>
      <c r="C1269" s="3"/>
      <c r="D1269" s="323" t="s">
        <v>2134</v>
      </c>
      <c r="E1269" s="323"/>
      <c r="F1269" s="324"/>
      <c r="G1269" s="325">
        <f>SUM(G1258:G1268)</f>
        <v>20000</v>
      </c>
      <c r="H1269" s="325">
        <f t="shared" ref="H1269:N1269" si="104">SUM(H1258:H1268)</f>
        <v>166998</v>
      </c>
      <c r="I1269" s="325">
        <f t="shared" si="104"/>
        <v>-97585</v>
      </c>
      <c r="J1269" s="325">
        <f t="shared" si="104"/>
        <v>0</v>
      </c>
      <c r="K1269" s="325">
        <f t="shared" si="104"/>
        <v>6000</v>
      </c>
      <c r="L1269" s="325">
        <f t="shared" si="104"/>
        <v>25137</v>
      </c>
      <c r="M1269" s="325">
        <f t="shared" si="104"/>
        <v>6000</v>
      </c>
      <c r="N1269" s="325">
        <f t="shared" si="104"/>
        <v>0</v>
      </c>
      <c r="O1269" s="292"/>
      <c r="P1269" s="202">
        <v>1253</v>
      </c>
      <c r="Q1269" s="210">
        <v>10</v>
      </c>
      <c r="R1269" s="205" t="s">
        <v>1033</v>
      </c>
      <c r="S1269" s="206" t="s">
        <v>81</v>
      </c>
      <c r="T1269" s="211">
        <v>6659</v>
      </c>
      <c r="U1269" s="211">
        <v>554.91999999999996</v>
      </c>
      <c r="V1269" s="213">
        <v>4447.91</v>
      </c>
      <c r="W1269" s="213">
        <v>66.8</v>
      </c>
    </row>
    <row r="1270" spans="1:23" ht="15" customHeight="1">
      <c r="G1270" s="26"/>
      <c r="H1270" s="26"/>
      <c r="I1270" s="26"/>
      <c r="J1270" s="26"/>
      <c r="K1270" s="26"/>
      <c r="L1270" s="26"/>
      <c r="M1270" s="26"/>
      <c r="N1270" s="26"/>
      <c r="P1270" s="202">
        <v>1254</v>
      </c>
      <c r="Q1270" s="210">
        <v>10</v>
      </c>
      <c r="R1270" s="205" t="s">
        <v>1034</v>
      </c>
      <c r="S1270" s="206" t="s">
        <v>83</v>
      </c>
      <c r="T1270" s="211">
        <v>0</v>
      </c>
      <c r="U1270" s="211">
        <v>0</v>
      </c>
      <c r="V1270" s="213">
        <v>0</v>
      </c>
      <c r="W1270" s="213">
        <v>0</v>
      </c>
    </row>
    <row r="1271" spans="1:23" s="43" customFormat="1" ht="15" customHeight="1" thickBot="1">
      <c r="A1271" s="2"/>
      <c r="B1271" s="2" t="s">
        <v>2317</v>
      </c>
      <c r="C1271" s="3"/>
      <c r="D1271" s="68" t="s">
        <v>1990</v>
      </c>
      <c r="E1271" s="326"/>
      <c r="F1271" s="327"/>
      <c r="G1271" s="328">
        <f t="shared" ref="G1271:N1271" si="105">+G1269+G1256+G1238+G1214+G1190</f>
        <v>527713</v>
      </c>
      <c r="H1271" s="328">
        <f t="shared" si="105"/>
        <v>728301</v>
      </c>
      <c r="I1271" s="328">
        <f t="shared" si="105"/>
        <v>561694</v>
      </c>
      <c r="J1271" s="328">
        <f t="shared" si="105"/>
        <v>696950</v>
      </c>
      <c r="K1271" s="328">
        <f t="shared" si="105"/>
        <v>729388</v>
      </c>
      <c r="L1271" s="328">
        <f t="shared" si="105"/>
        <v>479994</v>
      </c>
      <c r="M1271" s="328">
        <f t="shared" si="105"/>
        <v>764597</v>
      </c>
      <c r="N1271" s="328">
        <f t="shared" si="105"/>
        <v>728167.12</v>
      </c>
      <c r="O1271" s="288"/>
      <c r="P1271" s="202">
        <v>1255</v>
      </c>
      <c r="Q1271" s="210">
        <v>10</v>
      </c>
      <c r="R1271" s="205" t="s">
        <v>1035</v>
      </c>
      <c r="S1271" s="206" t="s">
        <v>85</v>
      </c>
      <c r="T1271" s="211">
        <v>275</v>
      </c>
      <c r="U1271" s="211">
        <v>0</v>
      </c>
      <c r="V1271" s="213">
        <v>221.5</v>
      </c>
      <c r="W1271" s="213">
        <v>80.55</v>
      </c>
    </row>
    <row r="1272" spans="1:23" s="45" customFormat="1" ht="15" customHeight="1" thickTop="1">
      <c r="A1272" s="2"/>
      <c r="B1272" s="2"/>
      <c r="C1272" s="3"/>
      <c r="D1272" s="47"/>
      <c r="E1272" s="15"/>
      <c r="F1272" s="105"/>
      <c r="G1272" s="26"/>
      <c r="H1272" s="26"/>
      <c r="I1272" s="26"/>
      <c r="J1272" s="26"/>
      <c r="K1272" s="26"/>
      <c r="L1272" s="26"/>
      <c r="M1272" s="26"/>
      <c r="N1272" s="26"/>
      <c r="O1272" s="275"/>
      <c r="P1272" s="202">
        <v>1256</v>
      </c>
      <c r="Q1272" s="210">
        <v>10</v>
      </c>
      <c r="R1272" s="205" t="s">
        <v>1036</v>
      </c>
      <c r="S1272" s="206" t="s">
        <v>87</v>
      </c>
      <c r="T1272" s="211">
        <v>2262</v>
      </c>
      <c r="U1272" s="211">
        <v>158.9</v>
      </c>
      <c r="V1272" s="213">
        <v>1281.26</v>
      </c>
      <c r="W1272" s="213">
        <v>56.64</v>
      </c>
    </row>
    <row r="1273" spans="1:23" s="45" customFormat="1" ht="15" customHeight="1">
      <c r="A1273" s="2"/>
      <c r="B1273" s="2"/>
      <c r="C1273" s="3"/>
      <c r="D1273" s="47" t="s">
        <v>13</v>
      </c>
      <c r="E1273" s="15"/>
      <c r="F1273" s="105"/>
      <c r="G1273" s="26"/>
      <c r="H1273" s="26"/>
      <c r="I1273" s="26"/>
      <c r="J1273" s="26"/>
      <c r="K1273" s="26"/>
      <c r="L1273" s="26"/>
      <c r="M1273" s="26"/>
      <c r="N1273" s="26"/>
      <c r="O1273" s="275"/>
      <c r="P1273" s="202">
        <v>1257</v>
      </c>
      <c r="Q1273" s="210">
        <v>10</v>
      </c>
      <c r="R1273" s="205" t="s">
        <v>1037</v>
      </c>
      <c r="S1273" s="206" t="s">
        <v>89</v>
      </c>
      <c r="T1273" s="211">
        <v>4737</v>
      </c>
      <c r="U1273" s="211">
        <v>414.74</v>
      </c>
      <c r="V1273" s="213">
        <v>3345.65</v>
      </c>
      <c r="W1273" s="213">
        <v>70.63</v>
      </c>
    </row>
    <row r="1274" spans="1:23" s="45" customFormat="1" ht="15" customHeight="1">
      <c r="A1274" s="2"/>
      <c r="B1274" s="2"/>
      <c r="C1274" s="3"/>
      <c r="D1274" s="47"/>
      <c r="E1274" s="15"/>
      <c r="F1274" s="105"/>
      <c r="G1274" s="26"/>
      <c r="H1274" s="26"/>
      <c r="I1274" s="26"/>
      <c r="J1274" s="26"/>
      <c r="K1274" s="26"/>
      <c r="L1274" s="26"/>
      <c r="M1274" s="26"/>
      <c r="N1274" s="26"/>
      <c r="O1274" s="275"/>
      <c r="P1274" s="202">
        <v>1258</v>
      </c>
      <c r="Q1274" s="210">
        <v>10</v>
      </c>
      <c r="R1274" s="205" t="s">
        <v>1038</v>
      </c>
      <c r="S1274" s="206" t="s">
        <v>91</v>
      </c>
      <c r="T1274" s="211">
        <v>0</v>
      </c>
      <c r="U1274" s="211">
        <v>0</v>
      </c>
      <c r="V1274" s="213">
        <v>0</v>
      </c>
      <c r="W1274" s="213">
        <v>0</v>
      </c>
    </row>
    <row r="1275" spans="1:23" s="5" customFormat="1" ht="15" customHeight="1">
      <c r="A1275" s="2"/>
      <c r="B1275" s="2"/>
      <c r="C1275" s="3"/>
      <c r="D1275" s="47" t="s">
        <v>2135</v>
      </c>
      <c r="E1275" s="15"/>
      <c r="F1275" s="105"/>
      <c r="G1275" s="26"/>
      <c r="H1275" s="26"/>
      <c r="I1275" s="26"/>
      <c r="J1275" s="26"/>
      <c r="K1275" s="26"/>
      <c r="L1275" s="26"/>
      <c r="M1275" s="26"/>
      <c r="N1275" s="26"/>
      <c r="O1275" s="282"/>
      <c r="P1275" s="202">
        <v>1259</v>
      </c>
      <c r="Q1275" s="210">
        <v>10</v>
      </c>
      <c r="R1275" s="205" t="s">
        <v>1039</v>
      </c>
      <c r="S1275" s="206" t="s">
        <v>93</v>
      </c>
      <c r="T1275" s="211">
        <v>0</v>
      </c>
      <c r="U1275" s="211">
        <v>0</v>
      </c>
      <c r="V1275" s="213">
        <v>0</v>
      </c>
      <c r="W1275" s="213">
        <v>0</v>
      </c>
    </row>
    <row r="1276" spans="1:23" ht="15" customHeight="1">
      <c r="G1276" s="26"/>
      <c r="H1276" s="26"/>
      <c r="I1276" s="26"/>
      <c r="J1276" s="26"/>
      <c r="K1276" s="26"/>
      <c r="L1276" s="26"/>
      <c r="M1276" s="26"/>
      <c r="N1276" s="26"/>
      <c r="P1276" s="202">
        <v>1260</v>
      </c>
      <c r="Q1276" s="210">
        <v>10</v>
      </c>
      <c r="R1276" s="205" t="s">
        <v>1040</v>
      </c>
      <c r="S1276" s="206" t="s">
        <v>95</v>
      </c>
      <c r="T1276" s="211">
        <v>0</v>
      </c>
      <c r="U1276" s="211">
        <v>0</v>
      </c>
      <c r="V1276" s="213">
        <v>0</v>
      </c>
      <c r="W1276" s="213">
        <v>0</v>
      </c>
    </row>
    <row r="1277" spans="1:23" ht="15" customHeight="1">
      <c r="C1277" s="3">
        <v>10</v>
      </c>
      <c r="D1277" s="15" t="s">
        <v>957</v>
      </c>
      <c r="E1277" s="312" t="s">
        <v>79</v>
      </c>
      <c r="G1277" s="26">
        <v>63671</v>
      </c>
      <c r="H1277" s="26">
        <v>48277</v>
      </c>
      <c r="I1277" s="26">
        <v>75012</v>
      </c>
      <c r="J1277" s="26">
        <v>69189</v>
      </c>
      <c r="K1277" s="26">
        <v>91339</v>
      </c>
      <c r="L1277" s="26">
        <v>41027</v>
      </c>
      <c r="M1277" s="26">
        <v>65000</v>
      </c>
      <c r="N1277" s="26">
        <v>84000</v>
      </c>
      <c r="O1277" s="275" t="s">
        <v>2917</v>
      </c>
      <c r="P1277" s="202">
        <v>1261</v>
      </c>
      <c r="Q1277" s="210">
        <v>10</v>
      </c>
      <c r="R1277" s="205" t="s">
        <v>1041</v>
      </c>
      <c r="S1277" s="206" t="s">
        <v>97</v>
      </c>
      <c r="T1277" s="211">
        <v>0</v>
      </c>
      <c r="U1277" s="211">
        <v>0</v>
      </c>
      <c r="V1277" s="213">
        <v>0</v>
      </c>
      <c r="W1277" s="213">
        <v>0</v>
      </c>
    </row>
    <row r="1278" spans="1:23" ht="15" customHeight="1">
      <c r="C1278" s="3">
        <v>10</v>
      </c>
      <c r="D1278" s="15" t="s">
        <v>958</v>
      </c>
      <c r="E1278" s="312" t="s">
        <v>81</v>
      </c>
      <c r="G1278" s="26">
        <v>12928</v>
      </c>
      <c r="H1278" s="26">
        <v>10333</v>
      </c>
      <c r="I1278" s="26">
        <v>17442</v>
      </c>
      <c r="J1278" s="26">
        <v>16653</v>
      </c>
      <c r="K1278" s="26">
        <v>19997</v>
      </c>
      <c r="L1278" s="26">
        <v>9739</v>
      </c>
      <c r="M1278" s="26">
        <f>12570*1.33</f>
        <v>16718.100000000002</v>
      </c>
      <c r="N1278" s="26">
        <v>19977</v>
      </c>
      <c r="P1278" s="202">
        <v>1262</v>
      </c>
      <c r="Q1278" s="210">
        <v>10</v>
      </c>
      <c r="R1278" s="205" t="s">
        <v>1042</v>
      </c>
      <c r="S1278" s="206" t="s">
        <v>99</v>
      </c>
      <c r="T1278" s="211">
        <v>59</v>
      </c>
      <c r="U1278" s="211">
        <v>0</v>
      </c>
      <c r="V1278" s="213">
        <v>57.24</v>
      </c>
      <c r="W1278" s="213">
        <v>97.02</v>
      </c>
    </row>
    <row r="1279" spans="1:23" ht="15" customHeight="1">
      <c r="C1279" s="3">
        <v>10</v>
      </c>
      <c r="D1279" s="15" t="s">
        <v>959</v>
      </c>
      <c r="E1279" s="312" t="s">
        <v>83</v>
      </c>
      <c r="G1279" s="26">
        <v>0</v>
      </c>
      <c r="H1279" s="26">
        <v>126</v>
      </c>
      <c r="I1279" s="26">
        <v>42</v>
      </c>
      <c r="J1279" s="26">
        <v>0</v>
      </c>
      <c r="K1279" s="26">
        <v>0</v>
      </c>
      <c r="L1279" s="26">
        <v>0</v>
      </c>
      <c r="M1279" s="26">
        <v>0</v>
      </c>
      <c r="N1279" s="26">
        <v>0</v>
      </c>
      <c r="P1279" s="202">
        <v>1263</v>
      </c>
      <c r="Q1279" s="210">
        <v>10</v>
      </c>
      <c r="R1279" s="205" t="s">
        <v>1043</v>
      </c>
      <c r="S1279" s="206" t="s">
        <v>101</v>
      </c>
      <c r="T1279" s="211">
        <v>0</v>
      </c>
      <c r="U1279" s="211">
        <v>0</v>
      </c>
      <c r="V1279" s="213">
        <v>0</v>
      </c>
      <c r="W1279" s="213">
        <v>0</v>
      </c>
    </row>
    <row r="1280" spans="1:23" ht="15" customHeight="1">
      <c r="C1280" s="3">
        <v>10</v>
      </c>
      <c r="D1280" s="15" t="s">
        <v>960</v>
      </c>
      <c r="E1280" s="312" t="s">
        <v>85</v>
      </c>
      <c r="G1280" s="26">
        <v>265</v>
      </c>
      <c r="H1280" s="26">
        <v>107</v>
      </c>
      <c r="I1280" s="26">
        <v>731</v>
      </c>
      <c r="J1280" s="26">
        <v>362</v>
      </c>
      <c r="K1280" s="26">
        <v>612</v>
      </c>
      <c r="L1280" s="26">
        <v>720</v>
      </c>
      <c r="M1280" s="26">
        <f>720*1.33</f>
        <v>957.6</v>
      </c>
      <c r="N1280" s="26">
        <v>958</v>
      </c>
      <c r="P1280" s="202">
        <v>1264</v>
      </c>
      <c r="Q1280" s="210">
        <v>10</v>
      </c>
      <c r="R1280" s="205" t="s">
        <v>1044</v>
      </c>
      <c r="S1280" s="206" t="s">
        <v>103</v>
      </c>
      <c r="T1280" s="211">
        <v>0</v>
      </c>
      <c r="U1280" s="211">
        <v>0</v>
      </c>
      <c r="V1280" s="213">
        <v>0</v>
      </c>
      <c r="W1280" s="213">
        <v>0</v>
      </c>
    </row>
    <row r="1281" spans="1:23" ht="15" customHeight="1">
      <c r="C1281" s="3">
        <v>10</v>
      </c>
      <c r="D1281" s="15" t="s">
        <v>961</v>
      </c>
      <c r="E1281" s="312" t="s">
        <v>87</v>
      </c>
      <c r="G1281" s="26">
        <v>6022</v>
      </c>
      <c r="H1281" s="26">
        <v>4933</v>
      </c>
      <c r="I1281" s="26">
        <v>5854</v>
      </c>
      <c r="J1281" s="26">
        <v>5935</v>
      </c>
      <c r="K1281" s="26">
        <v>7005</v>
      </c>
      <c r="L1281" s="26">
        <v>3255</v>
      </c>
      <c r="M1281" s="26">
        <f>4409*1.33</f>
        <v>5863.97</v>
      </c>
      <c r="N1281" s="26">
        <v>10146</v>
      </c>
      <c r="P1281" s="202">
        <v>1265</v>
      </c>
      <c r="Q1281" s="210">
        <v>10</v>
      </c>
      <c r="R1281" s="205" t="s">
        <v>2623</v>
      </c>
      <c r="S1281" s="206"/>
      <c r="T1281" s="211"/>
      <c r="U1281" s="211"/>
      <c r="V1281" s="213"/>
      <c r="W1281" s="213"/>
    </row>
    <row r="1282" spans="1:23" ht="15" customHeight="1">
      <c r="C1282" s="3">
        <v>10</v>
      </c>
      <c r="D1282" s="15" t="s">
        <v>962</v>
      </c>
      <c r="E1282" s="312" t="s">
        <v>89</v>
      </c>
      <c r="G1282" s="26">
        <v>9228</v>
      </c>
      <c r="H1282" s="26">
        <v>7060</v>
      </c>
      <c r="I1282" s="26">
        <v>11639</v>
      </c>
      <c r="J1282" s="26">
        <v>11399</v>
      </c>
      <c r="K1282" s="26">
        <v>14669</v>
      </c>
      <c r="L1282" s="26">
        <v>7059</v>
      </c>
      <c r="M1282" s="26">
        <f>9281*1.33</f>
        <v>12343.730000000001</v>
      </c>
      <c r="N1282" s="26">
        <v>14464</v>
      </c>
      <c r="P1282" s="202">
        <v>1266</v>
      </c>
      <c r="Q1282" s="210">
        <v>10</v>
      </c>
      <c r="R1282" s="205" t="s">
        <v>2621</v>
      </c>
      <c r="S1282" s="206"/>
      <c r="T1282" s="211">
        <v>43488</v>
      </c>
      <c r="U1282" s="211">
        <v>3674.56</v>
      </c>
      <c r="V1282" s="213">
        <v>29721.56</v>
      </c>
      <c r="W1282" s="213">
        <v>0</v>
      </c>
    </row>
    <row r="1283" spans="1:23" ht="15" customHeight="1">
      <c r="C1283" s="3">
        <v>10</v>
      </c>
      <c r="D1283" s="15" t="s">
        <v>963</v>
      </c>
      <c r="E1283" s="312" t="s">
        <v>91</v>
      </c>
      <c r="G1283" s="26">
        <v>1067</v>
      </c>
      <c r="H1283" s="26">
        <v>227</v>
      </c>
      <c r="I1283" s="26">
        <v>1700</v>
      </c>
      <c r="J1283" s="26">
        <v>915</v>
      </c>
      <c r="K1283" s="26">
        <v>0</v>
      </c>
      <c r="L1283" s="26">
        <v>1814</v>
      </c>
      <c r="M1283" s="26">
        <v>3000</v>
      </c>
      <c r="N1283" s="26">
        <v>1000</v>
      </c>
      <c r="P1283" s="202">
        <v>1267</v>
      </c>
      <c r="Q1283" s="210">
        <v>10</v>
      </c>
      <c r="R1283" s="205" t="s">
        <v>104</v>
      </c>
      <c r="S1283" s="206"/>
      <c r="T1283" s="211"/>
      <c r="U1283" s="211"/>
      <c r="V1283" s="213"/>
      <c r="W1283" s="213"/>
    </row>
    <row r="1284" spans="1:23" ht="15" customHeight="1">
      <c r="C1284" s="3">
        <v>10</v>
      </c>
      <c r="D1284" s="15" t="s">
        <v>964</v>
      </c>
      <c r="E1284" s="312" t="s">
        <v>93</v>
      </c>
      <c r="G1284" s="26">
        <v>17224</v>
      </c>
      <c r="H1284" s="26">
        <v>17916</v>
      </c>
      <c r="I1284" s="26">
        <v>3556</v>
      </c>
      <c r="J1284" s="26">
        <v>10812</v>
      </c>
      <c r="K1284" s="26">
        <v>6000</v>
      </c>
      <c r="L1284" s="26">
        <v>1650</v>
      </c>
      <c r="M1284" s="26">
        <v>6000</v>
      </c>
      <c r="N1284" s="26">
        <v>2500</v>
      </c>
      <c r="O1284" s="275" t="s">
        <v>2937</v>
      </c>
      <c r="P1284" s="202">
        <v>1268</v>
      </c>
      <c r="Q1284" s="210">
        <v>10</v>
      </c>
      <c r="R1284" s="205" t="s">
        <v>2624</v>
      </c>
      <c r="S1284" s="206"/>
      <c r="T1284" s="211"/>
      <c r="U1284" s="211"/>
      <c r="V1284" s="213"/>
      <c r="W1284" s="213"/>
    </row>
    <row r="1285" spans="1:23" ht="15" customHeight="1">
      <c r="C1285" s="3">
        <v>10</v>
      </c>
      <c r="D1285" s="15" t="s">
        <v>965</v>
      </c>
      <c r="E1285" s="312" t="s">
        <v>95</v>
      </c>
      <c r="G1285" s="26">
        <v>0</v>
      </c>
      <c r="H1285" s="26">
        <v>0</v>
      </c>
      <c r="I1285" s="26">
        <v>0</v>
      </c>
      <c r="J1285" s="26">
        <v>0</v>
      </c>
      <c r="K1285" s="26">
        <v>0</v>
      </c>
      <c r="L1285" s="26">
        <v>0</v>
      </c>
      <c r="M1285" s="26">
        <v>0</v>
      </c>
      <c r="N1285" s="26">
        <v>0</v>
      </c>
      <c r="P1285" s="202">
        <v>1269</v>
      </c>
      <c r="Q1285" s="210">
        <v>10</v>
      </c>
      <c r="R1285" s="205" t="s">
        <v>1045</v>
      </c>
      <c r="S1285" s="206" t="s">
        <v>115</v>
      </c>
      <c r="T1285" s="211">
        <v>700</v>
      </c>
      <c r="U1285" s="211">
        <v>93.99</v>
      </c>
      <c r="V1285" s="213">
        <v>529.38</v>
      </c>
      <c r="W1285" s="213">
        <v>75.63</v>
      </c>
    </row>
    <row r="1286" spans="1:23" ht="15" customHeight="1">
      <c r="C1286" s="3">
        <v>10</v>
      </c>
      <c r="D1286" s="15" t="s">
        <v>966</v>
      </c>
      <c r="E1286" s="312" t="s">
        <v>97</v>
      </c>
      <c r="G1286" s="26">
        <v>233</v>
      </c>
      <c r="H1286" s="26">
        <v>407</v>
      </c>
      <c r="I1286" s="26">
        <v>308</v>
      </c>
      <c r="J1286" s="26">
        <v>328</v>
      </c>
      <c r="K1286" s="26">
        <v>386</v>
      </c>
      <c r="L1286" s="26">
        <v>271</v>
      </c>
      <c r="M1286" s="26">
        <f>361*1.33</f>
        <v>480.13000000000005</v>
      </c>
      <c r="N1286" s="26">
        <v>749</v>
      </c>
      <c r="P1286" s="202">
        <v>1270</v>
      </c>
      <c r="Q1286" s="210">
        <v>10</v>
      </c>
      <c r="R1286" s="205" t="s">
        <v>1046</v>
      </c>
      <c r="S1286" s="206" t="s">
        <v>117</v>
      </c>
      <c r="T1286" s="211">
        <v>0</v>
      </c>
      <c r="U1286" s="211">
        <v>0</v>
      </c>
      <c r="V1286" s="213">
        <v>0</v>
      </c>
      <c r="W1286" s="213">
        <v>0</v>
      </c>
    </row>
    <row r="1287" spans="1:23" ht="15" customHeight="1">
      <c r="C1287" s="3">
        <v>10</v>
      </c>
      <c r="D1287" s="15" t="s">
        <v>967</v>
      </c>
      <c r="E1287" s="312" t="s">
        <v>99</v>
      </c>
      <c r="G1287" s="26">
        <v>117</v>
      </c>
      <c r="H1287" s="26">
        <v>88</v>
      </c>
      <c r="I1287" s="26">
        <v>205</v>
      </c>
      <c r="J1287" s="26">
        <v>176</v>
      </c>
      <c r="K1287" s="26">
        <v>177</v>
      </c>
      <c r="L1287" s="26">
        <v>143</v>
      </c>
      <c r="M1287" s="26">
        <f>143*1.33</f>
        <v>190.19</v>
      </c>
      <c r="N1287" s="26">
        <v>190</v>
      </c>
      <c r="P1287" s="202">
        <v>1271</v>
      </c>
      <c r="Q1287" s="210">
        <v>10</v>
      </c>
      <c r="R1287" s="205" t="s">
        <v>1047</v>
      </c>
      <c r="S1287" s="206" t="s">
        <v>119</v>
      </c>
      <c r="T1287" s="211">
        <v>1000</v>
      </c>
      <c r="U1287" s="211">
        <v>0</v>
      </c>
      <c r="V1287" s="213">
        <v>674.48</v>
      </c>
      <c r="W1287" s="213">
        <v>67.45</v>
      </c>
    </row>
    <row r="1288" spans="1:23" ht="15" customHeight="1">
      <c r="C1288" s="3">
        <v>10</v>
      </c>
      <c r="D1288" s="15" t="s">
        <v>968</v>
      </c>
      <c r="E1288" s="312" t="s">
        <v>101</v>
      </c>
      <c r="G1288" s="26">
        <v>0</v>
      </c>
      <c r="H1288" s="26">
        <v>0</v>
      </c>
      <c r="I1288" s="26">
        <v>0</v>
      </c>
      <c r="J1288" s="26">
        <v>0</v>
      </c>
      <c r="K1288" s="26">
        <v>0</v>
      </c>
      <c r="L1288" s="26">
        <v>0</v>
      </c>
      <c r="M1288" s="26">
        <v>0</v>
      </c>
      <c r="N1288" s="26">
        <v>0</v>
      </c>
      <c r="P1288" s="202">
        <v>1272</v>
      </c>
      <c r="Q1288" s="210">
        <v>10</v>
      </c>
      <c r="R1288" s="205" t="s">
        <v>1048</v>
      </c>
      <c r="S1288" s="206" t="s">
        <v>121</v>
      </c>
      <c r="T1288" s="211">
        <v>100</v>
      </c>
      <c r="U1288" s="211">
        <v>0</v>
      </c>
      <c r="V1288" s="213">
        <v>0</v>
      </c>
      <c r="W1288" s="213">
        <v>0</v>
      </c>
    </row>
    <row r="1289" spans="1:23" ht="15" customHeight="1">
      <c r="C1289" s="3">
        <v>10</v>
      </c>
      <c r="D1289" s="15" t="s">
        <v>969</v>
      </c>
      <c r="E1289" s="312" t="s">
        <v>103</v>
      </c>
      <c r="G1289" s="26">
        <v>0</v>
      </c>
      <c r="H1289" s="26">
        <v>0</v>
      </c>
      <c r="I1289" s="26">
        <v>0</v>
      </c>
      <c r="J1289" s="26">
        <v>0</v>
      </c>
      <c r="K1289" s="26">
        <v>0</v>
      </c>
      <c r="L1289" s="26">
        <v>0</v>
      </c>
      <c r="M1289" s="26">
        <v>0</v>
      </c>
      <c r="N1289" s="26">
        <v>0</v>
      </c>
      <c r="P1289" s="202">
        <v>1273</v>
      </c>
      <c r="Q1289" s="210">
        <v>10</v>
      </c>
      <c r="R1289" s="205" t="s">
        <v>1049</v>
      </c>
      <c r="S1289" s="206" t="s">
        <v>123</v>
      </c>
      <c r="T1289" s="211">
        <v>100</v>
      </c>
      <c r="U1289" s="211">
        <v>0</v>
      </c>
      <c r="V1289" s="213">
        <v>0</v>
      </c>
      <c r="W1289" s="213">
        <v>0</v>
      </c>
    </row>
    <row r="1290" spans="1:23" ht="15" customHeight="1">
      <c r="G1290" s="26"/>
      <c r="H1290" s="26"/>
      <c r="I1290" s="26"/>
      <c r="J1290" s="26"/>
      <c r="K1290" s="26"/>
      <c r="L1290" s="26"/>
      <c r="M1290" s="26"/>
      <c r="N1290" s="26"/>
      <c r="P1290" s="202">
        <v>1274</v>
      </c>
      <c r="Q1290" s="210">
        <v>10</v>
      </c>
      <c r="R1290" s="205" t="s">
        <v>1050</v>
      </c>
      <c r="S1290" s="206" t="s">
        <v>125</v>
      </c>
      <c r="T1290" s="211">
        <v>0</v>
      </c>
      <c r="U1290" s="211">
        <v>0</v>
      </c>
      <c r="V1290" s="213">
        <v>0</v>
      </c>
      <c r="W1290" s="213">
        <v>0</v>
      </c>
    </row>
    <row r="1291" spans="1:23" s="72" customFormat="1" ht="15" customHeight="1">
      <c r="A1291" s="5" t="s">
        <v>2410</v>
      </c>
      <c r="B1291" s="5" t="s">
        <v>2317</v>
      </c>
      <c r="C1291" s="3"/>
      <c r="D1291" s="323" t="s">
        <v>2136</v>
      </c>
      <c r="E1291" s="323"/>
      <c r="F1291" s="324"/>
      <c r="G1291" s="325">
        <f>SUM(G1275:G1290)</f>
        <v>110755</v>
      </c>
      <c r="H1291" s="325">
        <f t="shared" ref="H1291:N1291" si="106">SUM(H1275:H1290)</f>
        <v>89474</v>
      </c>
      <c r="I1291" s="325">
        <f t="shared" si="106"/>
        <v>116489</v>
      </c>
      <c r="J1291" s="325">
        <f t="shared" si="106"/>
        <v>115769</v>
      </c>
      <c r="K1291" s="325">
        <f t="shared" si="106"/>
        <v>140185</v>
      </c>
      <c r="L1291" s="325">
        <f t="shared" si="106"/>
        <v>65678</v>
      </c>
      <c r="M1291" s="325">
        <f t="shared" si="106"/>
        <v>110553.72000000002</v>
      </c>
      <c r="N1291" s="325">
        <f t="shared" si="106"/>
        <v>133984</v>
      </c>
      <c r="O1291" s="286"/>
      <c r="P1291" s="202">
        <v>1275</v>
      </c>
      <c r="Q1291" s="210">
        <v>10</v>
      </c>
      <c r="R1291" s="205" t="s">
        <v>1051</v>
      </c>
      <c r="S1291" s="206" t="s">
        <v>106</v>
      </c>
      <c r="T1291" s="211">
        <v>0</v>
      </c>
      <c r="U1291" s="211">
        <v>0</v>
      </c>
      <c r="V1291" s="213">
        <v>0</v>
      </c>
      <c r="W1291" s="213">
        <v>0</v>
      </c>
    </row>
    <row r="1292" spans="1:23" s="46" customFormat="1" ht="15" customHeight="1">
      <c r="A1292" s="2"/>
      <c r="B1292" s="2"/>
      <c r="C1292" s="3"/>
      <c r="D1292" s="47"/>
      <c r="E1292" s="47"/>
      <c r="F1292" s="191"/>
      <c r="G1292" s="48"/>
      <c r="H1292" s="48"/>
      <c r="I1292" s="48"/>
      <c r="J1292" s="48"/>
      <c r="K1292" s="48"/>
      <c r="L1292" s="48"/>
      <c r="M1292" s="48"/>
      <c r="N1292" s="48"/>
      <c r="O1292" s="289"/>
      <c r="P1292" s="202">
        <v>1276</v>
      </c>
      <c r="Q1292" s="210">
        <v>10</v>
      </c>
      <c r="R1292" s="205" t="s">
        <v>1052</v>
      </c>
      <c r="S1292" s="206" t="s">
        <v>200</v>
      </c>
      <c r="T1292" s="211">
        <v>0</v>
      </c>
      <c r="U1292" s="211">
        <v>0</v>
      </c>
      <c r="V1292" s="213">
        <v>0</v>
      </c>
      <c r="W1292" s="213">
        <v>0</v>
      </c>
    </row>
    <row r="1293" spans="1:23" s="5" customFormat="1" ht="15" customHeight="1">
      <c r="A1293" s="2"/>
      <c r="B1293" s="2"/>
      <c r="C1293" s="3"/>
      <c r="D1293" s="47" t="s">
        <v>2137</v>
      </c>
      <c r="E1293" s="15"/>
      <c r="F1293" s="105"/>
      <c r="G1293" s="26"/>
      <c r="H1293" s="26"/>
      <c r="I1293" s="26"/>
      <c r="J1293" s="26"/>
      <c r="K1293" s="26"/>
      <c r="L1293" s="26"/>
      <c r="M1293" s="26"/>
      <c r="N1293" s="26"/>
      <c r="O1293" s="282"/>
      <c r="P1293" s="202">
        <v>1277</v>
      </c>
      <c r="Q1293" s="210">
        <v>10</v>
      </c>
      <c r="R1293" s="205" t="s">
        <v>1053</v>
      </c>
      <c r="S1293" s="206" t="s">
        <v>202</v>
      </c>
      <c r="T1293" s="211">
        <v>0</v>
      </c>
      <c r="U1293" s="211">
        <v>0</v>
      </c>
      <c r="V1293" s="213">
        <v>0</v>
      </c>
      <c r="W1293" s="213">
        <v>0</v>
      </c>
    </row>
    <row r="1294" spans="1:23" ht="15" customHeight="1">
      <c r="G1294" s="26"/>
      <c r="H1294" s="26"/>
      <c r="I1294" s="26"/>
      <c r="J1294" s="26"/>
      <c r="K1294" s="26"/>
      <c r="L1294" s="26"/>
      <c r="M1294" s="26"/>
      <c r="N1294" s="26"/>
      <c r="P1294" s="202">
        <v>1278</v>
      </c>
      <c r="Q1294" s="210">
        <v>10</v>
      </c>
      <c r="R1294" s="205" t="s">
        <v>1054</v>
      </c>
      <c r="S1294" s="206" t="s">
        <v>132</v>
      </c>
      <c r="T1294" s="211">
        <v>0</v>
      </c>
      <c r="U1294" s="211">
        <v>0</v>
      </c>
      <c r="V1294" s="213">
        <v>0</v>
      </c>
      <c r="W1294" s="213">
        <v>0</v>
      </c>
    </row>
    <row r="1295" spans="1:23" ht="15" customHeight="1">
      <c r="C1295" s="3">
        <v>10</v>
      </c>
      <c r="D1295" s="15" t="s">
        <v>970</v>
      </c>
      <c r="E1295" s="312" t="s">
        <v>115</v>
      </c>
      <c r="G1295" s="26">
        <v>0</v>
      </c>
      <c r="H1295" s="26">
        <v>31</v>
      </c>
      <c r="I1295" s="26">
        <v>187</v>
      </c>
      <c r="J1295" s="26">
        <v>189</v>
      </c>
      <c r="K1295" s="26">
        <v>275</v>
      </c>
      <c r="L1295" s="26">
        <v>233</v>
      </c>
      <c r="M1295" s="26">
        <v>399</v>
      </c>
      <c r="N1295" s="26">
        <v>275</v>
      </c>
      <c r="O1295" s="285"/>
      <c r="P1295" s="202">
        <v>1279</v>
      </c>
      <c r="Q1295" s="210">
        <v>10</v>
      </c>
      <c r="R1295" s="205" t="s">
        <v>1055</v>
      </c>
      <c r="S1295" s="206" t="s">
        <v>206</v>
      </c>
      <c r="T1295" s="211">
        <v>0</v>
      </c>
      <c r="U1295" s="211">
        <v>11.52</v>
      </c>
      <c r="V1295" s="213">
        <v>66.14</v>
      </c>
      <c r="W1295" s="213">
        <v>0</v>
      </c>
    </row>
    <row r="1296" spans="1:23" ht="15" customHeight="1">
      <c r="C1296" s="3">
        <v>10</v>
      </c>
      <c r="D1296" s="15" t="s">
        <v>971</v>
      </c>
      <c r="E1296" s="312" t="s">
        <v>117</v>
      </c>
      <c r="G1296" s="26">
        <v>0</v>
      </c>
      <c r="H1296" s="26">
        <v>0</v>
      </c>
      <c r="I1296" s="26">
        <v>0</v>
      </c>
      <c r="J1296" s="26">
        <v>0</v>
      </c>
      <c r="K1296" s="26">
        <v>0</v>
      </c>
      <c r="L1296" s="26">
        <v>6</v>
      </c>
      <c r="M1296" s="26">
        <v>10</v>
      </c>
      <c r="N1296" s="26">
        <v>0</v>
      </c>
      <c r="O1296" s="285"/>
      <c r="P1296" s="202">
        <v>1280</v>
      </c>
      <c r="Q1296" s="210">
        <v>10</v>
      </c>
      <c r="R1296" s="205" t="s">
        <v>1056</v>
      </c>
      <c r="S1296" s="206" t="s">
        <v>134</v>
      </c>
      <c r="T1296" s="211">
        <v>0</v>
      </c>
      <c r="U1296" s="211">
        <v>0</v>
      </c>
      <c r="V1296" s="213">
        <v>0</v>
      </c>
      <c r="W1296" s="213">
        <v>0</v>
      </c>
    </row>
    <row r="1297" spans="3:23" ht="15" customHeight="1">
      <c r="C1297" s="3">
        <v>10</v>
      </c>
      <c r="D1297" s="15" t="s">
        <v>972</v>
      </c>
      <c r="E1297" s="312" t="s">
        <v>119</v>
      </c>
      <c r="G1297" s="26">
        <v>25</v>
      </c>
      <c r="H1297" s="26">
        <v>40</v>
      </c>
      <c r="I1297" s="26">
        <v>6</v>
      </c>
      <c r="J1297" s="26">
        <v>20</v>
      </c>
      <c r="K1297" s="26">
        <v>30</v>
      </c>
      <c r="L1297" s="26">
        <v>11</v>
      </c>
      <c r="M1297" s="26">
        <v>19</v>
      </c>
      <c r="N1297" s="26">
        <v>30</v>
      </c>
      <c r="O1297" s="285"/>
      <c r="P1297" s="202">
        <v>1281</v>
      </c>
      <c r="Q1297" s="210">
        <v>10</v>
      </c>
      <c r="R1297" s="205" t="s">
        <v>2623</v>
      </c>
      <c r="S1297" s="206"/>
      <c r="T1297" s="211"/>
      <c r="U1297" s="211"/>
      <c r="V1297" s="213"/>
      <c r="W1297" s="213"/>
    </row>
    <row r="1298" spans="3:23" ht="15" customHeight="1">
      <c r="C1298" s="3">
        <v>10</v>
      </c>
      <c r="D1298" s="15" t="s">
        <v>973</v>
      </c>
      <c r="E1298" s="312" t="s">
        <v>121</v>
      </c>
      <c r="G1298" s="26">
        <v>123</v>
      </c>
      <c r="H1298" s="26">
        <v>29</v>
      </c>
      <c r="I1298" s="26">
        <v>24</v>
      </c>
      <c r="J1298" s="26">
        <v>75</v>
      </c>
      <c r="K1298" s="26">
        <v>195</v>
      </c>
      <c r="L1298" s="26">
        <v>0</v>
      </c>
      <c r="M1298" s="26">
        <v>0</v>
      </c>
      <c r="N1298" s="26">
        <v>195</v>
      </c>
      <c r="O1298" s="285"/>
      <c r="P1298" s="202">
        <v>1282</v>
      </c>
      <c r="Q1298" s="210">
        <v>10</v>
      </c>
      <c r="R1298" s="205" t="s">
        <v>104</v>
      </c>
      <c r="S1298" s="206"/>
      <c r="T1298" s="211">
        <v>1900</v>
      </c>
      <c r="U1298" s="211">
        <v>105.51</v>
      </c>
      <c r="V1298" s="213">
        <v>1270</v>
      </c>
      <c r="W1298" s="213">
        <v>0</v>
      </c>
    </row>
    <row r="1299" spans="3:23" ht="15" customHeight="1">
      <c r="C1299" s="3">
        <v>10</v>
      </c>
      <c r="D1299" s="15" t="s">
        <v>974</v>
      </c>
      <c r="E1299" s="312" t="s">
        <v>123</v>
      </c>
      <c r="G1299" s="26">
        <v>0</v>
      </c>
      <c r="H1299" s="26">
        <v>40</v>
      </c>
      <c r="I1299" s="26">
        <v>0</v>
      </c>
      <c r="J1299" s="26">
        <v>0</v>
      </c>
      <c r="K1299" s="26">
        <v>0</v>
      </c>
      <c r="L1299" s="26">
        <v>0</v>
      </c>
      <c r="M1299" s="26">
        <v>0</v>
      </c>
      <c r="N1299" s="26">
        <v>0</v>
      </c>
      <c r="O1299" s="285"/>
      <c r="P1299" s="202">
        <v>1283</v>
      </c>
      <c r="Q1299" s="210">
        <v>10</v>
      </c>
      <c r="R1299" s="205" t="s">
        <v>135</v>
      </c>
      <c r="S1299" s="206"/>
      <c r="T1299" s="211"/>
      <c r="U1299" s="211"/>
      <c r="V1299" s="213"/>
      <c r="W1299" s="213"/>
    </row>
    <row r="1300" spans="3:23" ht="15" customHeight="1">
      <c r="C1300" s="3">
        <v>10</v>
      </c>
      <c r="D1300" s="15" t="s">
        <v>975</v>
      </c>
      <c r="E1300" s="312" t="s">
        <v>125</v>
      </c>
      <c r="G1300" s="26">
        <v>87</v>
      </c>
      <c r="H1300" s="26">
        <v>0</v>
      </c>
      <c r="I1300" s="26">
        <v>24</v>
      </c>
      <c r="J1300" s="26">
        <v>0</v>
      </c>
      <c r="K1300" s="26">
        <v>25</v>
      </c>
      <c r="L1300" s="26">
        <v>0</v>
      </c>
      <c r="M1300" s="26">
        <v>0</v>
      </c>
      <c r="N1300" s="26">
        <v>25</v>
      </c>
      <c r="O1300" s="285"/>
      <c r="P1300" s="202">
        <v>1284</v>
      </c>
      <c r="Q1300" s="210">
        <v>10</v>
      </c>
      <c r="R1300" s="205" t="s">
        <v>2626</v>
      </c>
      <c r="S1300" s="206"/>
      <c r="T1300" s="211"/>
      <c r="U1300" s="211"/>
      <c r="V1300" s="213"/>
      <c r="W1300" s="213"/>
    </row>
    <row r="1301" spans="3:23" ht="15" customHeight="1">
      <c r="C1301" s="3">
        <v>10</v>
      </c>
      <c r="D1301" s="15" t="s">
        <v>976</v>
      </c>
      <c r="E1301" s="312" t="s">
        <v>106</v>
      </c>
      <c r="G1301" s="26">
        <v>0</v>
      </c>
      <c r="H1301" s="26">
        <v>3460</v>
      </c>
      <c r="I1301" s="26">
        <v>5247</v>
      </c>
      <c r="J1301" s="26">
        <v>5773</v>
      </c>
      <c r="K1301" s="26">
        <v>4540</v>
      </c>
      <c r="L1301" s="26">
        <v>3274</v>
      </c>
      <c r="M1301" s="26">
        <v>5613</v>
      </c>
      <c r="N1301" s="26">
        <v>4994</v>
      </c>
      <c r="O1301" s="285" t="s">
        <v>2694</v>
      </c>
      <c r="P1301" s="202">
        <v>1285</v>
      </c>
      <c r="Q1301" s="210">
        <v>10</v>
      </c>
      <c r="R1301" s="205" t="s">
        <v>1057</v>
      </c>
      <c r="S1301" s="206" t="s">
        <v>137</v>
      </c>
      <c r="T1301" s="211">
        <v>650</v>
      </c>
      <c r="U1301" s="211">
        <v>49.34</v>
      </c>
      <c r="V1301" s="213">
        <v>374.54</v>
      </c>
      <c r="W1301" s="213">
        <v>57.62</v>
      </c>
    </row>
    <row r="1302" spans="3:23" ht="15" customHeight="1">
      <c r="C1302" s="3">
        <v>10</v>
      </c>
      <c r="D1302" s="15" t="s">
        <v>977</v>
      </c>
      <c r="E1302" s="312" t="s">
        <v>197</v>
      </c>
      <c r="G1302" s="26">
        <v>0</v>
      </c>
      <c r="H1302" s="26">
        <v>0</v>
      </c>
      <c r="I1302" s="26">
        <v>0</v>
      </c>
      <c r="J1302" s="26">
        <v>0</v>
      </c>
      <c r="K1302" s="26">
        <v>0</v>
      </c>
      <c r="L1302" s="26">
        <v>0</v>
      </c>
      <c r="M1302" s="26">
        <v>0</v>
      </c>
      <c r="N1302" s="26">
        <v>0</v>
      </c>
      <c r="O1302" s="285"/>
      <c r="P1302" s="202">
        <v>1286</v>
      </c>
      <c r="Q1302" s="210">
        <v>10</v>
      </c>
      <c r="R1302" s="205" t="s">
        <v>1058</v>
      </c>
      <c r="S1302" s="206" t="s">
        <v>139</v>
      </c>
      <c r="T1302" s="211">
        <v>100</v>
      </c>
      <c r="U1302" s="211">
        <v>0</v>
      </c>
      <c r="V1302" s="213">
        <v>60</v>
      </c>
      <c r="W1302" s="213">
        <v>60</v>
      </c>
    </row>
    <row r="1303" spans="3:23" ht="15" customHeight="1">
      <c r="C1303" s="3">
        <v>10</v>
      </c>
      <c r="D1303" s="15" t="s">
        <v>978</v>
      </c>
      <c r="E1303" s="312" t="s">
        <v>128</v>
      </c>
      <c r="G1303" s="26">
        <v>0</v>
      </c>
      <c r="H1303" s="26">
        <v>0</v>
      </c>
      <c r="I1303" s="26">
        <v>0</v>
      </c>
      <c r="J1303" s="26">
        <v>0</v>
      </c>
      <c r="K1303" s="26">
        <v>0</v>
      </c>
      <c r="L1303" s="26">
        <v>51</v>
      </c>
      <c r="M1303" s="26">
        <v>87</v>
      </c>
      <c r="N1303" s="26">
        <v>0</v>
      </c>
      <c r="O1303" s="285"/>
      <c r="P1303" s="202">
        <v>1287</v>
      </c>
      <c r="Q1303" s="210">
        <v>10</v>
      </c>
      <c r="R1303" s="205" t="s">
        <v>1059</v>
      </c>
      <c r="S1303" s="206" t="s">
        <v>654</v>
      </c>
      <c r="T1303" s="211">
        <v>0</v>
      </c>
      <c r="U1303" s="211">
        <v>0</v>
      </c>
      <c r="V1303" s="213">
        <v>0</v>
      </c>
      <c r="W1303" s="213">
        <v>0</v>
      </c>
    </row>
    <row r="1304" spans="3:23" ht="15" customHeight="1">
      <c r="C1304" s="3">
        <v>10</v>
      </c>
      <c r="D1304" s="15" t="s">
        <v>979</v>
      </c>
      <c r="E1304" s="312" t="s">
        <v>200</v>
      </c>
      <c r="G1304" s="26">
        <v>494</v>
      </c>
      <c r="H1304" s="26">
        <v>607</v>
      </c>
      <c r="I1304" s="26">
        <v>1299</v>
      </c>
      <c r="J1304" s="26">
        <v>1099</v>
      </c>
      <c r="K1304" s="26">
        <v>1470</v>
      </c>
      <c r="L1304" s="26">
        <v>567</v>
      </c>
      <c r="M1304" s="26">
        <v>972</v>
      </c>
      <c r="N1304" s="26">
        <v>1470</v>
      </c>
      <c r="O1304" s="285"/>
      <c r="P1304" s="202">
        <v>1288</v>
      </c>
      <c r="Q1304" s="210">
        <v>10</v>
      </c>
      <c r="R1304" s="205" t="s">
        <v>1060</v>
      </c>
      <c r="S1304" s="206" t="s">
        <v>141</v>
      </c>
      <c r="T1304" s="211">
        <v>0</v>
      </c>
      <c r="U1304" s="211">
        <v>0</v>
      </c>
      <c r="V1304" s="213">
        <v>0</v>
      </c>
      <c r="W1304" s="213">
        <v>0</v>
      </c>
    </row>
    <row r="1305" spans="3:23" ht="15" customHeight="1">
      <c r="C1305" s="3">
        <v>10</v>
      </c>
      <c r="D1305" s="15" t="s">
        <v>980</v>
      </c>
      <c r="E1305" s="312" t="s">
        <v>202</v>
      </c>
      <c r="G1305" s="26">
        <v>0</v>
      </c>
      <c r="H1305" s="26">
        <v>0</v>
      </c>
      <c r="I1305" s="26">
        <v>0</v>
      </c>
      <c r="J1305" s="26">
        <v>0</v>
      </c>
      <c r="K1305" s="26">
        <v>0</v>
      </c>
      <c r="L1305" s="26">
        <v>0</v>
      </c>
      <c r="M1305" s="26">
        <v>0</v>
      </c>
      <c r="N1305" s="26">
        <v>0</v>
      </c>
      <c r="O1305" s="285"/>
      <c r="P1305" s="202">
        <v>1289</v>
      </c>
      <c r="Q1305" s="210">
        <v>10</v>
      </c>
      <c r="R1305" s="205" t="s">
        <v>1061</v>
      </c>
      <c r="S1305" s="206" t="s">
        <v>145</v>
      </c>
      <c r="T1305" s="211">
        <v>0</v>
      </c>
      <c r="U1305" s="211">
        <v>0</v>
      </c>
      <c r="V1305" s="213">
        <v>0</v>
      </c>
      <c r="W1305" s="213">
        <v>0</v>
      </c>
    </row>
    <row r="1306" spans="3:23" ht="15" customHeight="1">
      <c r="C1306" s="3">
        <v>10</v>
      </c>
      <c r="D1306" s="15" t="s">
        <v>981</v>
      </c>
      <c r="E1306" s="312" t="s">
        <v>130</v>
      </c>
      <c r="G1306" s="26">
        <v>6526</v>
      </c>
      <c r="H1306" s="26">
        <v>183</v>
      </c>
      <c r="I1306" s="26">
        <v>178</v>
      </c>
      <c r="J1306" s="26">
        <v>304</v>
      </c>
      <c r="K1306" s="26">
        <v>250</v>
      </c>
      <c r="L1306" s="26">
        <v>189</v>
      </c>
      <c r="M1306" s="26">
        <v>324</v>
      </c>
      <c r="N1306" s="26">
        <v>270</v>
      </c>
      <c r="O1306" s="285"/>
      <c r="P1306" s="202">
        <v>1290</v>
      </c>
      <c r="Q1306" s="210">
        <v>10</v>
      </c>
      <c r="R1306" s="205" t="s">
        <v>1062</v>
      </c>
      <c r="S1306" s="206" t="s">
        <v>147</v>
      </c>
      <c r="T1306" s="211">
        <v>0</v>
      </c>
      <c r="U1306" s="211">
        <v>0</v>
      </c>
      <c r="V1306" s="213">
        <v>0</v>
      </c>
      <c r="W1306" s="213">
        <v>0</v>
      </c>
    </row>
    <row r="1307" spans="3:23" ht="15" customHeight="1">
      <c r="C1307" s="3">
        <v>10</v>
      </c>
      <c r="D1307" s="15" t="s">
        <v>982</v>
      </c>
      <c r="E1307" s="312" t="s">
        <v>132</v>
      </c>
      <c r="G1307" s="26">
        <v>1001</v>
      </c>
      <c r="H1307" s="26">
        <v>1374</v>
      </c>
      <c r="I1307" s="26">
        <v>1567</v>
      </c>
      <c r="J1307" s="26">
        <v>1818</v>
      </c>
      <c r="K1307" s="26">
        <v>1500</v>
      </c>
      <c r="L1307" s="26">
        <v>1037</v>
      </c>
      <c r="M1307" s="26">
        <v>1778</v>
      </c>
      <c r="N1307" s="26">
        <v>1635</v>
      </c>
      <c r="O1307" s="285"/>
      <c r="P1307" s="202">
        <v>1291</v>
      </c>
      <c r="Q1307" s="210">
        <v>10</v>
      </c>
      <c r="R1307" s="205" t="s">
        <v>1063</v>
      </c>
      <c r="S1307" s="206" t="s">
        <v>151</v>
      </c>
      <c r="T1307" s="211">
        <v>100</v>
      </c>
      <c r="U1307" s="211">
        <v>0</v>
      </c>
      <c r="V1307" s="213">
        <v>100</v>
      </c>
      <c r="W1307" s="213">
        <v>100</v>
      </c>
    </row>
    <row r="1308" spans="3:23" ht="15" customHeight="1">
      <c r="C1308" s="3">
        <v>10</v>
      </c>
      <c r="D1308" s="15" t="s">
        <v>983</v>
      </c>
      <c r="E1308" s="312" t="s">
        <v>206</v>
      </c>
      <c r="G1308" s="26">
        <v>526</v>
      </c>
      <c r="H1308" s="26">
        <v>622</v>
      </c>
      <c r="I1308" s="26">
        <v>709</v>
      </c>
      <c r="J1308" s="26">
        <v>631</v>
      </c>
      <c r="K1308" s="26">
        <v>600</v>
      </c>
      <c r="L1308" s="26">
        <v>307</v>
      </c>
      <c r="M1308" s="26">
        <v>526</v>
      </c>
      <c r="N1308" s="26">
        <v>600</v>
      </c>
      <c r="O1308" s="285"/>
      <c r="P1308" s="202">
        <v>1292</v>
      </c>
      <c r="Q1308" s="210">
        <v>10</v>
      </c>
      <c r="R1308" s="205" t="s">
        <v>1064</v>
      </c>
      <c r="S1308" s="206" t="s">
        <v>153</v>
      </c>
      <c r="T1308" s="211">
        <v>1000</v>
      </c>
      <c r="U1308" s="211">
        <v>0</v>
      </c>
      <c r="V1308" s="213">
        <v>218.95</v>
      </c>
      <c r="W1308" s="213">
        <v>21.9</v>
      </c>
    </row>
    <row r="1309" spans="3:23" ht="15" customHeight="1">
      <c r="C1309" s="3">
        <v>10</v>
      </c>
      <c r="D1309" s="15" t="s">
        <v>984</v>
      </c>
      <c r="E1309" s="312" t="s">
        <v>208</v>
      </c>
      <c r="G1309" s="26">
        <v>0</v>
      </c>
      <c r="H1309" s="26">
        <v>0</v>
      </c>
      <c r="I1309" s="26">
        <v>0</v>
      </c>
      <c r="J1309" s="26">
        <v>458</v>
      </c>
      <c r="K1309" s="26">
        <v>0</v>
      </c>
      <c r="L1309" s="26">
        <v>129</v>
      </c>
      <c r="M1309" s="26">
        <v>221</v>
      </c>
      <c r="N1309" s="26">
        <v>0</v>
      </c>
      <c r="O1309" s="285"/>
      <c r="P1309" s="202">
        <v>1293</v>
      </c>
      <c r="Q1309" s="210">
        <v>10</v>
      </c>
      <c r="R1309" s="205" t="s">
        <v>1065</v>
      </c>
      <c r="S1309" s="206" t="s">
        <v>157</v>
      </c>
      <c r="T1309" s="211">
        <v>0</v>
      </c>
      <c r="U1309" s="211">
        <v>0</v>
      </c>
      <c r="V1309" s="213">
        <v>0</v>
      </c>
      <c r="W1309" s="213">
        <v>0</v>
      </c>
    </row>
    <row r="1310" spans="3:23" ht="15" customHeight="1">
      <c r="C1310" s="3">
        <v>10</v>
      </c>
      <c r="D1310" s="15" t="s">
        <v>985</v>
      </c>
      <c r="E1310" s="312" t="s">
        <v>210</v>
      </c>
      <c r="G1310" s="26">
        <v>0</v>
      </c>
      <c r="H1310" s="26">
        <v>0</v>
      </c>
      <c r="I1310" s="26">
        <v>0</v>
      </c>
      <c r="J1310" s="26">
        <v>86</v>
      </c>
      <c r="K1310" s="26">
        <v>0</v>
      </c>
      <c r="L1310" s="26">
        <v>53</v>
      </c>
      <c r="M1310" s="26">
        <v>91</v>
      </c>
      <c r="N1310" s="26">
        <v>0</v>
      </c>
      <c r="O1310" s="285"/>
      <c r="P1310" s="202">
        <v>1294</v>
      </c>
      <c r="Q1310" s="210">
        <v>10</v>
      </c>
      <c r="R1310" s="205" t="s">
        <v>1066</v>
      </c>
      <c r="S1310" s="206" t="s">
        <v>159</v>
      </c>
      <c r="T1310" s="211">
        <v>0</v>
      </c>
      <c r="U1310" s="211">
        <v>0</v>
      </c>
      <c r="V1310" s="213">
        <v>0</v>
      </c>
      <c r="W1310" s="213">
        <v>0</v>
      </c>
    </row>
    <row r="1311" spans="3:23" ht="15" customHeight="1">
      <c r="C1311" s="3">
        <v>10</v>
      </c>
      <c r="D1311" s="15" t="s">
        <v>986</v>
      </c>
      <c r="E1311" s="312" t="s">
        <v>134</v>
      </c>
      <c r="G1311" s="26">
        <v>0</v>
      </c>
      <c r="H1311" s="26">
        <v>0</v>
      </c>
      <c r="I1311" s="26">
        <v>0</v>
      </c>
      <c r="J1311" s="26">
        <v>0</v>
      </c>
      <c r="K1311" s="26">
        <v>0</v>
      </c>
      <c r="L1311" s="26">
        <v>0</v>
      </c>
      <c r="M1311" s="26">
        <v>0</v>
      </c>
      <c r="N1311" s="26">
        <v>0</v>
      </c>
      <c r="O1311" s="285"/>
      <c r="P1311" s="202">
        <v>1295</v>
      </c>
      <c r="Q1311" s="210">
        <v>10</v>
      </c>
      <c r="R1311" s="205" t="s">
        <v>1067</v>
      </c>
      <c r="S1311" s="206" t="s">
        <v>229</v>
      </c>
      <c r="T1311" s="211">
        <v>0</v>
      </c>
      <c r="U1311" s="211">
        <v>0</v>
      </c>
      <c r="V1311" s="213">
        <v>0</v>
      </c>
      <c r="W1311" s="213">
        <v>0</v>
      </c>
    </row>
    <row r="1312" spans="3:23" ht="15" customHeight="1">
      <c r="C1312" s="3">
        <v>10</v>
      </c>
      <c r="D1312" s="15" t="s">
        <v>987</v>
      </c>
      <c r="E1312" s="312" t="s">
        <v>213</v>
      </c>
      <c r="G1312" s="26">
        <v>1820</v>
      </c>
      <c r="H1312" s="26">
        <v>2144</v>
      </c>
      <c r="I1312" s="26">
        <v>1424</v>
      </c>
      <c r="J1312" s="26">
        <v>2241</v>
      </c>
      <c r="K1312" s="26">
        <v>3000</v>
      </c>
      <c r="L1312" s="26">
        <v>539</v>
      </c>
      <c r="M1312" s="26">
        <v>924</v>
      </c>
      <c r="N1312" s="26">
        <v>3000</v>
      </c>
      <c r="O1312" s="285"/>
      <c r="P1312" s="202">
        <v>1296</v>
      </c>
      <c r="Q1312" s="210">
        <v>10</v>
      </c>
      <c r="R1312" s="205" t="s">
        <v>1068</v>
      </c>
      <c r="S1312" s="206" t="s">
        <v>162</v>
      </c>
      <c r="T1312" s="211">
        <v>0</v>
      </c>
      <c r="U1312" s="211">
        <v>0</v>
      </c>
      <c r="V1312" s="213">
        <v>179.2</v>
      </c>
      <c r="W1312" s="213">
        <v>0</v>
      </c>
    </row>
    <row r="1313" spans="1:23" ht="15" customHeight="1">
      <c r="G1313" s="26"/>
      <c r="H1313" s="26"/>
      <c r="I1313" s="26"/>
      <c r="J1313" s="26"/>
      <c r="K1313" s="26"/>
      <c r="L1313" s="26"/>
      <c r="M1313" s="26"/>
      <c r="N1313" s="26"/>
      <c r="P1313" s="202">
        <v>1297</v>
      </c>
      <c r="Q1313" s="210">
        <v>10</v>
      </c>
      <c r="R1313" s="205" t="s">
        <v>2623</v>
      </c>
      <c r="S1313" s="206"/>
      <c r="T1313" s="211"/>
      <c r="U1313" s="211"/>
      <c r="V1313" s="213"/>
      <c r="W1313" s="213"/>
    </row>
    <row r="1314" spans="1:23" s="200" customFormat="1" ht="15" customHeight="1">
      <c r="A1314" s="196" t="s">
        <v>104</v>
      </c>
      <c r="B1314" s="196" t="s">
        <v>2317</v>
      </c>
      <c r="C1314" s="75"/>
      <c r="D1314" s="323" t="s">
        <v>2138</v>
      </c>
      <c r="E1314" s="323"/>
      <c r="F1314" s="324"/>
      <c r="G1314" s="325">
        <f>SUM(G1293:G1313)</f>
        <v>10602</v>
      </c>
      <c r="H1314" s="325">
        <f t="shared" ref="H1314:N1314" si="107">SUM(H1293:H1313)</f>
        <v>8530</v>
      </c>
      <c r="I1314" s="325">
        <f t="shared" si="107"/>
        <v>10665</v>
      </c>
      <c r="J1314" s="325">
        <f t="shared" si="107"/>
        <v>12694</v>
      </c>
      <c r="K1314" s="325">
        <f t="shared" si="107"/>
        <v>11885</v>
      </c>
      <c r="L1314" s="325">
        <f t="shared" si="107"/>
        <v>6396</v>
      </c>
      <c r="M1314" s="325">
        <f t="shared" si="107"/>
        <v>10964</v>
      </c>
      <c r="N1314" s="325">
        <f t="shared" si="107"/>
        <v>12494</v>
      </c>
      <c r="O1314" s="287"/>
      <c r="P1314" s="202">
        <v>1298</v>
      </c>
      <c r="Q1314" s="210">
        <v>10</v>
      </c>
      <c r="R1314" s="205" t="s">
        <v>135</v>
      </c>
      <c r="S1314" s="206"/>
      <c r="T1314" s="211">
        <v>1850</v>
      </c>
      <c r="U1314" s="211">
        <v>49.34</v>
      </c>
      <c r="V1314" s="213">
        <v>932.69</v>
      </c>
      <c r="W1314" s="213">
        <v>0</v>
      </c>
    </row>
    <row r="1315" spans="1:23" s="46" customFormat="1" ht="15" customHeight="1">
      <c r="A1315" s="2"/>
      <c r="B1315" s="2"/>
      <c r="C1315" s="3"/>
      <c r="D1315" s="47"/>
      <c r="E1315" s="47"/>
      <c r="F1315" s="191"/>
      <c r="G1315" s="48"/>
      <c r="H1315" s="48"/>
      <c r="I1315" s="48"/>
      <c r="J1315" s="48"/>
      <c r="K1315" s="48"/>
      <c r="L1315" s="48"/>
      <c r="M1315" s="48"/>
      <c r="N1315" s="48"/>
      <c r="O1315" s="289"/>
      <c r="P1315" s="202">
        <v>1299</v>
      </c>
      <c r="Q1315" s="210">
        <v>10</v>
      </c>
      <c r="R1315" s="205" t="s">
        <v>163</v>
      </c>
      <c r="S1315" s="206"/>
      <c r="T1315" s="211"/>
      <c r="U1315" s="211"/>
      <c r="V1315" s="213"/>
      <c r="W1315" s="213"/>
    </row>
    <row r="1316" spans="1:23" ht="15" customHeight="1">
      <c r="D1316" s="47" t="s">
        <v>2139</v>
      </c>
      <c r="G1316" s="26"/>
      <c r="H1316" s="26"/>
      <c r="I1316" s="26"/>
      <c r="J1316" s="26"/>
      <c r="K1316" s="26"/>
      <c r="L1316" s="26"/>
      <c r="M1316" s="26"/>
      <c r="N1316" s="26"/>
      <c r="P1316" s="202">
        <v>1300</v>
      </c>
      <c r="Q1316" s="210">
        <v>10</v>
      </c>
      <c r="R1316" s="205" t="s">
        <v>2627</v>
      </c>
      <c r="S1316" s="206"/>
      <c r="T1316" s="211"/>
      <c r="U1316" s="211"/>
      <c r="V1316" s="213"/>
      <c r="W1316" s="213"/>
    </row>
    <row r="1317" spans="1:23" ht="15" customHeight="1">
      <c r="G1317" s="26"/>
      <c r="H1317" s="26"/>
      <c r="I1317" s="26"/>
      <c r="J1317" s="26"/>
      <c r="K1317" s="26"/>
      <c r="L1317" s="26"/>
      <c r="M1317" s="26"/>
      <c r="N1317" s="26"/>
      <c r="P1317" s="202">
        <v>1301</v>
      </c>
      <c r="Q1317" s="210">
        <v>10</v>
      </c>
      <c r="R1317" s="205" t="s">
        <v>1069</v>
      </c>
      <c r="S1317" s="206" t="s">
        <v>329</v>
      </c>
      <c r="T1317" s="211">
        <v>0</v>
      </c>
      <c r="U1317" s="211">
        <v>0</v>
      </c>
      <c r="V1317" s="213">
        <v>0</v>
      </c>
      <c r="W1317" s="213">
        <v>0</v>
      </c>
    </row>
    <row r="1318" spans="1:23" ht="15" customHeight="1">
      <c r="C1318" s="3">
        <v>10</v>
      </c>
      <c r="D1318" s="15" t="s">
        <v>988</v>
      </c>
      <c r="E1318" s="312" t="s">
        <v>137</v>
      </c>
      <c r="G1318" s="26">
        <v>1407</v>
      </c>
      <c r="H1318" s="26">
        <v>1497</v>
      </c>
      <c r="I1318" s="26">
        <v>1437</v>
      </c>
      <c r="J1318" s="26">
        <v>1464</v>
      </c>
      <c r="K1318" s="26">
        <v>1300</v>
      </c>
      <c r="L1318" s="26">
        <v>1070</v>
      </c>
      <c r="M1318" s="26">
        <v>1834</v>
      </c>
      <c r="N1318" s="26">
        <v>1417</v>
      </c>
      <c r="O1318" s="285"/>
      <c r="P1318" s="202">
        <v>1302</v>
      </c>
      <c r="Q1318" s="210">
        <v>10</v>
      </c>
      <c r="R1318" s="205" t="s">
        <v>1070</v>
      </c>
      <c r="S1318" s="206" t="s">
        <v>165</v>
      </c>
      <c r="T1318" s="211">
        <v>0</v>
      </c>
      <c r="U1318" s="211">
        <v>0</v>
      </c>
      <c r="V1318" s="213">
        <v>0</v>
      </c>
      <c r="W1318" s="213">
        <v>0</v>
      </c>
    </row>
    <row r="1319" spans="1:23" ht="15" customHeight="1">
      <c r="C1319" s="3">
        <v>10</v>
      </c>
      <c r="D1319" s="15" t="s">
        <v>989</v>
      </c>
      <c r="E1319" s="312" t="s">
        <v>216</v>
      </c>
      <c r="G1319" s="26">
        <v>0</v>
      </c>
      <c r="H1319" s="26">
        <v>0</v>
      </c>
      <c r="I1319" s="26">
        <v>0</v>
      </c>
      <c r="J1319" s="26">
        <v>0</v>
      </c>
      <c r="K1319" s="26">
        <v>0</v>
      </c>
      <c r="L1319" s="26">
        <v>0</v>
      </c>
      <c r="M1319" s="26">
        <v>0</v>
      </c>
      <c r="N1319" s="26">
        <v>0</v>
      </c>
      <c r="O1319" s="285"/>
      <c r="P1319" s="202">
        <v>1303</v>
      </c>
      <c r="Q1319" s="210">
        <v>10</v>
      </c>
      <c r="R1319" s="205" t="s">
        <v>1071</v>
      </c>
      <c r="S1319" s="206" t="s">
        <v>167</v>
      </c>
      <c r="T1319" s="211">
        <v>0</v>
      </c>
      <c r="U1319" s="211">
        <v>0</v>
      </c>
      <c r="V1319" s="213">
        <v>0</v>
      </c>
      <c r="W1319" s="213">
        <v>0</v>
      </c>
    </row>
    <row r="1320" spans="1:23" ht="15" customHeight="1">
      <c r="C1320" s="3">
        <v>10</v>
      </c>
      <c r="D1320" s="15" t="s">
        <v>990</v>
      </c>
      <c r="E1320" s="312" t="s">
        <v>139</v>
      </c>
      <c r="G1320" s="26">
        <v>317</v>
      </c>
      <c r="H1320" s="26">
        <v>628</v>
      </c>
      <c r="I1320" s="26">
        <v>460</v>
      </c>
      <c r="J1320" s="26">
        <v>235</v>
      </c>
      <c r="K1320" s="26">
        <v>2000</v>
      </c>
      <c r="L1320" s="26">
        <v>0</v>
      </c>
      <c r="M1320" s="26">
        <v>0</v>
      </c>
      <c r="N1320" s="26">
        <v>2000</v>
      </c>
      <c r="O1320" s="285"/>
      <c r="P1320" s="202">
        <v>1304</v>
      </c>
      <c r="Q1320" s="210">
        <v>10</v>
      </c>
      <c r="R1320" s="205" t="s">
        <v>1072</v>
      </c>
      <c r="S1320" s="206" t="s">
        <v>169</v>
      </c>
      <c r="T1320" s="211">
        <v>700</v>
      </c>
      <c r="U1320" s="211">
        <v>33.78</v>
      </c>
      <c r="V1320" s="213">
        <v>313.24</v>
      </c>
      <c r="W1320" s="213">
        <v>44.75</v>
      </c>
    </row>
    <row r="1321" spans="1:23" ht="15" customHeight="1">
      <c r="C1321" s="3">
        <v>10</v>
      </c>
      <c r="D1321" s="15" t="s">
        <v>991</v>
      </c>
      <c r="E1321" s="312" t="s">
        <v>141</v>
      </c>
      <c r="G1321" s="26">
        <v>0</v>
      </c>
      <c r="H1321" s="26">
        <v>0</v>
      </c>
      <c r="I1321" s="26">
        <v>0</v>
      </c>
      <c r="J1321" s="26">
        <v>0</v>
      </c>
      <c r="K1321" s="26">
        <v>0</v>
      </c>
      <c r="L1321" s="26">
        <v>0</v>
      </c>
      <c r="M1321" s="26">
        <v>0</v>
      </c>
      <c r="N1321" s="26">
        <v>0</v>
      </c>
      <c r="O1321" s="285"/>
      <c r="P1321" s="202">
        <v>1305</v>
      </c>
      <c r="Q1321" s="210">
        <v>10</v>
      </c>
      <c r="R1321" s="205" t="s">
        <v>1073</v>
      </c>
      <c r="S1321" s="206" t="s">
        <v>175</v>
      </c>
      <c r="T1321" s="211">
        <v>0</v>
      </c>
      <c r="U1321" s="211">
        <v>0</v>
      </c>
      <c r="V1321" s="213">
        <v>0</v>
      </c>
      <c r="W1321" s="213">
        <v>0</v>
      </c>
    </row>
    <row r="1322" spans="1:23" ht="15" customHeight="1">
      <c r="C1322" s="3">
        <v>10</v>
      </c>
      <c r="D1322" s="15" t="s">
        <v>992</v>
      </c>
      <c r="E1322" s="312" t="s">
        <v>143</v>
      </c>
      <c r="G1322" s="26">
        <v>0</v>
      </c>
      <c r="H1322" s="26">
        <v>0</v>
      </c>
      <c r="I1322" s="26">
        <v>123</v>
      </c>
      <c r="J1322" s="26">
        <v>0</v>
      </c>
      <c r="K1322" s="26">
        <v>0</v>
      </c>
      <c r="L1322" s="26">
        <v>0</v>
      </c>
      <c r="M1322" s="26">
        <v>0</v>
      </c>
      <c r="N1322" s="26">
        <v>0</v>
      </c>
      <c r="O1322" s="285"/>
      <c r="P1322" s="202">
        <v>1306</v>
      </c>
      <c r="Q1322" s="210">
        <v>10</v>
      </c>
      <c r="R1322" s="205" t="s">
        <v>1074</v>
      </c>
      <c r="S1322" s="206" t="s">
        <v>244</v>
      </c>
      <c r="T1322" s="211">
        <v>0</v>
      </c>
      <c r="U1322" s="211">
        <v>0</v>
      </c>
      <c r="V1322" s="213">
        <v>0</v>
      </c>
      <c r="W1322" s="213">
        <v>0</v>
      </c>
    </row>
    <row r="1323" spans="1:23" ht="15" customHeight="1">
      <c r="C1323" s="3">
        <v>10</v>
      </c>
      <c r="D1323" s="15" t="s">
        <v>993</v>
      </c>
      <c r="E1323" s="312" t="s">
        <v>145</v>
      </c>
      <c r="G1323" s="26">
        <v>16904</v>
      </c>
      <c r="H1323" s="26">
        <v>15544</v>
      </c>
      <c r="I1323" s="26">
        <v>15303</v>
      </c>
      <c r="J1323" s="26">
        <v>32621</v>
      </c>
      <c r="K1323" s="26">
        <v>20000</v>
      </c>
      <c r="L1323" s="26">
        <v>9898</v>
      </c>
      <c r="M1323" s="26">
        <v>16968</v>
      </c>
      <c r="N1323" s="26">
        <v>18000</v>
      </c>
      <c r="O1323" s="285" t="s">
        <v>2938</v>
      </c>
      <c r="P1323" s="202">
        <v>1307</v>
      </c>
      <c r="Q1323" s="210">
        <v>10</v>
      </c>
      <c r="R1323" s="205" t="s">
        <v>2623</v>
      </c>
      <c r="S1323" s="206"/>
      <c r="T1323" s="211"/>
      <c r="U1323" s="211"/>
      <c r="V1323" s="213"/>
      <c r="W1323" s="213"/>
    </row>
    <row r="1324" spans="1:23" ht="15" customHeight="1">
      <c r="C1324" s="3">
        <v>10</v>
      </c>
      <c r="D1324" s="15" t="s">
        <v>994</v>
      </c>
      <c r="E1324" s="312" t="s">
        <v>147</v>
      </c>
      <c r="G1324" s="26">
        <v>0</v>
      </c>
      <c r="H1324" s="26">
        <v>0</v>
      </c>
      <c r="I1324" s="26">
        <v>0</v>
      </c>
      <c r="J1324" s="26">
        <v>443</v>
      </c>
      <c r="K1324" s="26">
        <v>0</v>
      </c>
      <c r="L1324" s="26">
        <v>5</v>
      </c>
      <c r="M1324" s="26">
        <v>9</v>
      </c>
      <c r="N1324" s="26">
        <v>0</v>
      </c>
      <c r="O1324" s="285"/>
      <c r="P1324" s="202">
        <v>1308</v>
      </c>
      <c r="Q1324" s="210">
        <v>10</v>
      </c>
      <c r="R1324" s="205" t="s">
        <v>163</v>
      </c>
      <c r="S1324" s="206"/>
      <c r="T1324" s="211">
        <v>700</v>
      </c>
      <c r="U1324" s="211">
        <v>33.78</v>
      </c>
      <c r="V1324" s="213">
        <v>313.24</v>
      </c>
      <c r="W1324" s="213">
        <v>0</v>
      </c>
    </row>
    <row r="1325" spans="1:23" ht="15" customHeight="1">
      <c r="C1325" s="3">
        <v>10</v>
      </c>
      <c r="D1325" s="15" t="s">
        <v>995</v>
      </c>
      <c r="E1325" s="312" t="s">
        <v>149</v>
      </c>
      <c r="G1325" s="26">
        <v>348</v>
      </c>
      <c r="H1325" s="26">
        <v>128</v>
      </c>
      <c r="I1325" s="26">
        <v>187</v>
      </c>
      <c r="J1325" s="26">
        <v>75</v>
      </c>
      <c r="K1325" s="26">
        <v>250</v>
      </c>
      <c r="L1325" s="26">
        <v>8</v>
      </c>
      <c r="M1325" s="26">
        <v>14</v>
      </c>
      <c r="N1325" s="26">
        <v>250</v>
      </c>
      <c r="O1325" s="285"/>
      <c r="P1325" s="202">
        <v>1309</v>
      </c>
      <c r="Q1325" s="210">
        <v>10</v>
      </c>
      <c r="R1325" s="205" t="s">
        <v>245</v>
      </c>
      <c r="S1325" s="206"/>
      <c r="T1325" s="211"/>
      <c r="U1325" s="211"/>
      <c r="V1325" s="213"/>
      <c r="W1325" s="213"/>
    </row>
    <row r="1326" spans="1:23" ht="15" customHeight="1">
      <c r="C1326" s="3">
        <v>10</v>
      </c>
      <c r="D1326" s="15" t="s">
        <v>996</v>
      </c>
      <c r="E1326" s="312" t="s">
        <v>151</v>
      </c>
      <c r="G1326" s="26">
        <v>0</v>
      </c>
      <c r="H1326" s="26">
        <v>0</v>
      </c>
      <c r="I1326" s="26">
        <v>0</v>
      </c>
      <c r="J1326" s="26">
        <v>133</v>
      </c>
      <c r="K1326" s="26">
        <v>0</v>
      </c>
      <c r="L1326" s="26">
        <v>13</v>
      </c>
      <c r="M1326" s="26">
        <v>23</v>
      </c>
      <c r="N1326" s="26">
        <v>0</v>
      </c>
      <c r="O1326" s="285"/>
      <c r="P1326" s="202">
        <v>1310</v>
      </c>
      <c r="Q1326" s="210">
        <v>10</v>
      </c>
      <c r="R1326" s="205" t="s">
        <v>2628</v>
      </c>
      <c r="S1326" s="206"/>
      <c r="T1326" s="211"/>
      <c r="U1326" s="211"/>
      <c r="V1326" s="213"/>
      <c r="W1326" s="213"/>
    </row>
    <row r="1327" spans="1:23" ht="15" customHeight="1">
      <c r="C1327" s="3">
        <v>10</v>
      </c>
      <c r="D1327" s="15" t="s">
        <v>997</v>
      </c>
      <c r="E1327" s="312" t="s">
        <v>153</v>
      </c>
      <c r="G1327" s="26">
        <v>27</v>
      </c>
      <c r="H1327" s="26">
        <v>128</v>
      </c>
      <c r="I1327" s="26">
        <v>144</v>
      </c>
      <c r="J1327" s="26">
        <v>290</v>
      </c>
      <c r="K1327" s="26">
        <v>100</v>
      </c>
      <c r="L1327" s="26">
        <v>102</v>
      </c>
      <c r="M1327" s="26">
        <v>175</v>
      </c>
      <c r="N1327" s="26">
        <v>100</v>
      </c>
      <c r="O1327" s="285"/>
      <c r="P1327" s="202">
        <v>1311</v>
      </c>
      <c r="Q1327" s="210">
        <v>10</v>
      </c>
      <c r="R1327" s="205" t="s">
        <v>1075</v>
      </c>
      <c r="S1327" s="206" t="s">
        <v>329</v>
      </c>
      <c r="T1327" s="211">
        <v>0</v>
      </c>
      <c r="U1327" s="211">
        <v>0</v>
      </c>
      <c r="V1327" s="213">
        <v>0</v>
      </c>
      <c r="W1327" s="213">
        <v>0</v>
      </c>
    </row>
    <row r="1328" spans="1:23" ht="15" customHeight="1">
      <c r="C1328" s="3">
        <v>10</v>
      </c>
      <c r="D1328" s="15" t="s">
        <v>998</v>
      </c>
      <c r="E1328" s="312" t="s">
        <v>159</v>
      </c>
      <c r="G1328" s="26">
        <v>0</v>
      </c>
      <c r="H1328" s="26">
        <v>1065</v>
      </c>
      <c r="I1328" s="26">
        <v>2129</v>
      </c>
      <c r="J1328" s="26">
        <v>2129</v>
      </c>
      <c r="K1328" s="26">
        <v>2390</v>
      </c>
      <c r="L1328" s="26">
        <v>1242</v>
      </c>
      <c r="M1328" s="26"/>
      <c r="N1328" s="26">
        <v>2494</v>
      </c>
      <c r="O1328" s="285"/>
      <c r="P1328" s="202">
        <v>1312</v>
      </c>
      <c r="Q1328" s="210">
        <v>10</v>
      </c>
      <c r="R1328" s="205" t="s">
        <v>1076</v>
      </c>
      <c r="S1328" s="206" t="s">
        <v>165</v>
      </c>
      <c r="T1328" s="211">
        <v>0</v>
      </c>
      <c r="U1328" s="211">
        <v>0</v>
      </c>
      <c r="V1328" s="213">
        <v>0</v>
      </c>
      <c r="W1328" s="213">
        <v>0</v>
      </c>
    </row>
    <row r="1329" spans="1:23" ht="15" customHeight="1">
      <c r="C1329" s="3">
        <v>10</v>
      </c>
      <c r="D1329" s="15" t="s">
        <v>999</v>
      </c>
      <c r="E1329" s="312" t="s">
        <v>229</v>
      </c>
      <c r="G1329" s="26">
        <v>0</v>
      </c>
      <c r="H1329" s="26">
        <v>237</v>
      </c>
      <c r="I1329" s="26">
        <v>475</v>
      </c>
      <c r="J1329" s="26">
        <v>475</v>
      </c>
      <c r="K1329" s="26">
        <v>214</v>
      </c>
      <c r="L1329" s="26">
        <v>277</v>
      </c>
      <c r="M1329" s="26"/>
      <c r="N1329" s="26">
        <v>111</v>
      </c>
      <c r="O1329" s="285">
        <v>2604</v>
      </c>
      <c r="P1329" s="202">
        <v>1313</v>
      </c>
      <c r="Q1329" s="210">
        <v>10</v>
      </c>
      <c r="R1329" s="205" t="s">
        <v>1077</v>
      </c>
      <c r="S1329" s="206" t="s">
        <v>167</v>
      </c>
      <c r="T1329" s="211">
        <v>0</v>
      </c>
      <c r="U1329" s="211">
        <v>0</v>
      </c>
      <c r="V1329" s="213">
        <v>0</v>
      </c>
      <c r="W1329" s="213">
        <v>0</v>
      </c>
    </row>
    <row r="1330" spans="1:23" ht="15" customHeight="1">
      <c r="C1330" s="3">
        <v>10</v>
      </c>
      <c r="D1330" s="15" t="s">
        <v>1000</v>
      </c>
      <c r="E1330" s="312" t="s">
        <v>162</v>
      </c>
      <c r="G1330" s="26">
        <v>65</v>
      </c>
      <c r="H1330" s="26">
        <v>0</v>
      </c>
      <c r="I1330" s="26">
        <v>0</v>
      </c>
      <c r="J1330" s="26">
        <v>0</v>
      </c>
      <c r="K1330" s="26">
        <v>0</v>
      </c>
      <c r="L1330" s="26">
        <v>0</v>
      </c>
      <c r="M1330" s="26">
        <v>0</v>
      </c>
      <c r="N1330" s="26">
        <v>0</v>
      </c>
      <c r="O1330" s="285"/>
      <c r="P1330" s="202">
        <v>1314</v>
      </c>
      <c r="Q1330" s="210">
        <v>10</v>
      </c>
      <c r="R1330" s="205" t="s">
        <v>1078</v>
      </c>
      <c r="S1330" s="206" t="s">
        <v>247</v>
      </c>
      <c r="T1330" s="211">
        <v>0</v>
      </c>
      <c r="U1330" s="211">
        <v>0</v>
      </c>
      <c r="V1330" s="213">
        <v>0</v>
      </c>
      <c r="W1330" s="213">
        <v>0</v>
      </c>
    </row>
    <row r="1331" spans="1:23" ht="15" customHeight="1">
      <c r="G1331" s="26"/>
      <c r="H1331" s="26"/>
      <c r="I1331" s="26"/>
      <c r="J1331" s="26"/>
      <c r="K1331" s="26"/>
      <c r="L1331" s="26"/>
      <c r="M1331" s="26"/>
      <c r="N1331" s="26"/>
      <c r="O1331" s="293"/>
      <c r="P1331" s="202">
        <v>1315</v>
      </c>
      <c r="Q1331" s="210">
        <v>10</v>
      </c>
      <c r="R1331" s="205" t="s">
        <v>1079</v>
      </c>
      <c r="S1331" s="206" t="s">
        <v>244</v>
      </c>
      <c r="T1331" s="211">
        <v>0</v>
      </c>
      <c r="U1331" s="211">
        <v>0</v>
      </c>
      <c r="V1331" s="213">
        <v>0</v>
      </c>
      <c r="W1331" s="213">
        <v>0</v>
      </c>
    </row>
    <row r="1332" spans="1:23" s="22" customFormat="1" ht="15" customHeight="1">
      <c r="A1332" s="2" t="s">
        <v>135</v>
      </c>
      <c r="B1332" s="2" t="s">
        <v>2317</v>
      </c>
      <c r="C1332" s="3"/>
      <c r="D1332" s="323" t="s">
        <v>2140</v>
      </c>
      <c r="E1332" s="323"/>
      <c r="F1332" s="324"/>
      <c r="G1332" s="325">
        <f>SUM(G1316:G1331)</f>
        <v>19068</v>
      </c>
      <c r="H1332" s="325">
        <f t="shared" ref="H1332:N1332" si="108">SUM(H1316:H1331)</f>
        <v>19227</v>
      </c>
      <c r="I1332" s="325">
        <f t="shared" si="108"/>
        <v>20258</v>
      </c>
      <c r="J1332" s="325">
        <f t="shared" si="108"/>
        <v>37865</v>
      </c>
      <c r="K1332" s="325">
        <f t="shared" si="108"/>
        <v>26254</v>
      </c>
      <c r="L1332" s="325">
        <f t="shared" si="108"/>
        <v>12615</v>
      </c>
      <c r="M1332" s="325">
        <f t="shared" si="108"/>
        <v>19023</v>
      </c>
      <c r="N1332" s="325">
        <f t="shared" si="108"/>
        <v>24372</v>
      </c>
      <c r="O1332" s="290"/>
      <c r="P1332" s="202">
        <v>1316</v>
      </c>
      <c r="Q1332" s="210">
        <v>10</v>
      </c>
      <c r="R1332" s="205" t="s">
        <v>2623</v>
      </c>
      <c r="S1332" s="206"/>
      <c r="T1332" s="211"/>
      <c r="U1332" s="211"/>
      <c r="V1332" s="213"/>
      <c r="W1332" s="213"/>
    </row>
    <row r="1333" spans="1:23" s="46" customFormat="1" ht="15" customHeight="1">
      <c r="A1333" s="2"/>
      <c r="B1333" s="2"/>
      <c r="C1333" s="3"/>
      <c r="D1333" s="47"/>
      <c r="E1333" s="47"/>
      <c r="F1333" s="191"/>
      <c r="G1333" s="48"/>
      <c r="H1333" s="48"/>
      <c r="I1333" s="48"/>
      <c r="J1333" s="48"/>
      <c r="K1333" s="48"/>
      <c r="L1333" s="48"/>
      <c r="M1333" s="48"/>
      <c r="N1333" s="48"/>
      <c r="O1333" s="289"/>
      <c r="P1333" s="202">
        <v>1317</v>
      </c>
      <c r="Q1333" s="210">
        <v>10</v>
      </c>
      <c r="R1333" s="205" t="s">
        <v>245</v>
      </c>
      <c r="S1333" s="206"/>
      <c r="T1333" s="211">
        <v>0</v>
      </c>
      <c r="U1333" s="211">
        <v>0</v>
      </c>
      <c r="V1333" s="213">
        <v>0</v>
      </c>
      <c r="W1333" s="213">
        <v>0</v>
      </c>
    </row>
    <row r="1334" spans="1:23" ht="15" customHeight="1">
      <c r="D1334" s="47" t="s">
        <v>2141</v>
      </c>
      <c r="G1334" s="26"/>
      <c r="H1334" s="26"/>
      <c r="I1334" s="26"/>
      <c r="J1334" s="26"/>
      <c r="K1334" s="26"/>
      <c r="L1334" s="26"/>
      <c r="M1334" s="26"/>
      <c r="N1334" s="26"/>
      <c r="P1334" s="202">
        <v>1318</v>
      </c>
      <c r="Q1334" s="210">
        <v>10</v>
      </c>
      <c r="R1334" s="205" t="s">
        <v>2623</v>
      </c>
      <c r="S1334" s="206"/>
      <c r="T1334" s="211"/>
      <c r="U1334" s="211"/>
      <c r="V1334" s="213"/>
      <c r="W1334" s="213"/>
    </row>
    <row r="1335" spans="1:23" ht="15" customHeight="1">
      <c r="G1335" s="26"/>
      <c r="H1335" s="26"/>
      <c r="I1335" s="26"/>
      <c r="J1335" s="26"/>
      <c r="K1335" s="26"/>
      <c r="L1335" s="26"/>
      <c r="M1335" s="26"/>
      <c r="N1335" s="26"/>
      <c r="P1335" s="202">
        <v>1319</v>
      </c>
      <c r="Q1335" s="210">
        <v>10</v>
      </c>
      <c r="R1335" s="205" t="s">
        <v>14</v>
      </c>
      <c r="S1335" s="206"/>
      <c r="T1335" s="211">
        <v>47938</v>
      </c>
      <c r="U1335" s="211">
        <v>3863.19</v>
      </c>
      <c r="V1335" s="213">
        <v>32237.49</v>
      </c>
      <c r="W1335" s="213">
        <v>67.25</v>
      </c>
    </row>
    <row r="1336" spans="1:23" ht="15" customHeight="1">
      <c r="C1336" s="3">
        <v>10</v>
      </c>
      <c r="D1336" s="15" t="s">
        <v>1001</v>
      </c>
      <c r="E1336" s="312" t="s">
        <v>433</v>
      </c>
      <c r="G1336" s="26">
        <v>94</v>
      </c>
      <c r="H1336" s="26">
        <v>1469</v>
      </c>
      <c r="I1336" s="26">
        <v>277</v>
      </c>
      <c r="J1336" s="26">
        <v>1336</v>
      </c>
      <c r="K1336" s="26">
        <v>5000</v>
      </c>
      <c r="L1336" s="26">
        <v>604</v>
      </c>
      <c r="M1336" s="26">
        <v>1035</v>
      </c>
      <c r="N1336" s="26">
        <v>2000</v>
      </c>
      <c r="O1336" s="285" t="s">
        <v>2940</v>
      </c>
      <c r="P1336" s="202">
        <v>1320</v>
      </c>
      <c r="Q1336" s="210">
        <v>10</v>
      </c>
      <c r="R1336" s="205" t="s">
        <v>2621</v>
      </c>
      <c r="S1336" s="206"/>
      <c r="T1336" s="211"/>
      <c r="U1336" s="211"/>
      <c r="V1336" s="213"/>
      <c r="W1336" s="213"/>
    </row>
    <row r="1337" spans="1:23" ht="15" customHeight="1">
      <c r="C1337" s="3">
        <v>10</v>
      </c>
      <c r="D1337" s="15" t="s">
        <v>1002</v>
      </c>
      <c r="E1337" s="312" t="s">
        <v>435</v>
      </c>
      <c r="G1337" s="26">
        <v>0</v>
      </c>
      <c r="H1337" s="26">
        <v>0</v>
      </c>
      <c r="I1337" s="26">
        <v>0</v>
      </c>
      <c r="J1337" s="26">
        <v>0</v>
      </c>
      <c r="K1337" s="26">
        <v>0</v>
      </c>
      <c r="L1337" s="26">
        <v>0</v>
      </c>
      <c r="M1337" s="26">
        <v>0</v>
      </c>
      <c r="N1337" s="26">
        <v>0</v>
      </c>
      <c r="O1337" s="285"/>
      <c r="P1337" s="202">
        <v>1321</v>
      </c>
      <c r="Q1337" s="210">
        <v>10</v>
      </c>
      <c r="R1337" s="205" t="s">
        <v>2622</v>
      </c>
      <c r="S1337" s="206"/>
      <c r="T1337" s="211"/>
      <c r="U1337" s="211"/>
      <c r="V1337" s="213"/>
      <c r="W1337" s="213"/>
    </row>
    <row r="1338" spans="1:23" ht="15" customHeight="1">
      <c r="C1338" s="3">
        <v>10</v>
      </c>
      <c r="D1338" s="15" t="s">
        <v>1003</v>
      </c>
      <c r="E1338" s="312" t="s">
        <v>232</v>
      </c>
      <c r="G1338" s="26">
        <v>307</v>
      </c>
      <c r="H1338" s="26">
        <v>1056</v>
      </c>
      <c r="I1338" s="26">
        <v>439</v>
      </c>
      <c r="J1338" s="26">
        <v>2462</v>
      </c>
      <c r="K1338" s="26">
        <v>800</v>
      </c>
      <c r="L1338" s="26">
        <v>428</v>
      </c>
      <c r="M1338" s="26">
        <v>734</v>
      </c>
      <c r="N1338" s="26">
        <v>800</v>
      </c>
      <c r="O1338" s="285"/>
      <c r="P1338" s="202">
        <v>1322</v>
      </c>
      <c r="Q1338" s="210">
        <v>10</v>
      </c>
      <c r="R1338" s="205" t="s">
        <v>1080</v>
      </c>
      <c r="S1338" s="206" t="s">
        <v>79</v>
      </c>
      <c r="T1338" s="211">
        <v>64546</v>
      </c>
      <c r="U1338" s="211">
        <v>5378</v>
      </c>
      <c r="V1338" s="213">
        <v>43024</v>
      </c>
      <c r="W1338" s="213">
        <v>66.66</v>
      </c>
    </row>
    <row r="1339" spans="1:23" ht="15" customHeight="1">
      <c r="C1339" s="3">
        <v>10</v>
      </c>
      <c r="D1339" s="15" t="s">
        <v>1004</v>
      </c>
      <c r="E1339" s="312" t="s">
        <v>234</v>
      </c>
      <c r="G1339" s="26">
        <v>0</v>
      </c>
      <c r="H1339" s="26">
        <v>0</v>
      </c>
      <c r="I1339" s="26">
        <v>0</v>
      </c>
      <c r="J1339" s="26">
        <v>0</v>
      </c>
      <c r="K1339" s="26">
        <v>0</v>
      </c>
      <c r="L1339" s="26">
        <v>0</v>
      </c>
      <c r="M1339" s="26">
        <v>0</v>
      </c>
      <c r="N1339" s="26">
        <v>0</v>
      </c>
      <c r="O1339" s="285"/>
      <c r="P1339" s="202">
        <v>1323</v>
      </c>
      <c r="Q1339" s="210">
        <v>10</v>
      </c>
      <c r="R1339" s="205" t="s">
        <v>1081</v>
      </c>
      <c r="S1339" s="206" t="s">
        <v>81</v>
      </c>
      <c r="T1339" s="211">
        <v>6659</v>
      </c>
      <c r="U1339" s="211">
        <v>554.91999999999996</v>
      </c>
      <c r="V1339" s="213">
        <v>4439.3599999999997</v>
      </c>
      <c r="W1339" s="213">
        <v>66.67</v>
      </c>
    </row>
    <row r="1340" spans="1:23" ht="15" customHeight="1">
      <c r="C1340" s="3">
        <v>10</v>
      </c>
      <c r="D1340" s="15" t="s">
        <v>1005</v>
      </c>
      <c r="E1340" s="312" t="s">
        <v>236</v>
      </c>
      <c r="G1340" s="26">
        <v>0</v>
      </c>
      <c r="H1340" s="26">
        <v>0</v>
      </c>
      <c r="I1340" s="26">
        <v>0</v>
      </c>
      <c r="J1340" s="26">
        <v>0</v>
      </c>
      <c r="K1340" s="26">
        <v>0</v>
      </c>
      <c r="L1340" s="26">
        <v>0</v>
      </c>
      <c r="M1340" s="26">
        <v>0</v>
      </c>
      <c r="N1340" s="26">
        <v>0</v>
      </c>
      <c r="O1340" s="285"/>
      <c r="P1340" s="202">
        <v>1324</v>
      </c>
      <c r="Q1340" s="210">
        <v>10</v>
      </c>
      <c r="R1340" s="205" t="s">
        <v>1082</v>
      </c>
      <c r="S1340" s="206" t="s">
        <v>83</v>
      </c>
      <c r="T1340" s="211">
        <v>0</v>
      </c>
      <c r="U1340" s="211">
        <v>0</v>
      </c>
      <c r="V1340" s="213">
        <v>0</v>
      </c>
      <c r="W1340" s="213">
        <v>0</v>
      </c>
    </row>
    <row r="1341" spans="1:23" ht="15" customHeight="1">
      <c r="C1341" s="3">
        <v>10</v>
      </c>
      <c r="D1341" s="15" t="s">
        <v>1006</v>
      </c>
      <c r="E1341" s="312" t="s">
        <v>1007</v>
      </c>
      <c r="G1341" s="26">
        <v>17500</v>
      </c>
      <c r="H1341" s="26">
        <v>1378</v>
      </c>
      <c r="I1341" s="26">
        <v>1670</v>
      </c>
      <c r="J1341" s="26">
        <v>3279</v>
      </c>
      <c r="K1341" s="26">
        <v>7500</v>
      </c>
      <c r="L1341" s="26">
        <v>8287</v>
      </c>
      <c r="M1341" s="26">
        <v>10000</v>
      </c>
      <c r="N1341" s="26">
        <v>2500</v>
      </c>
      <c r="O1341" s="285" t="s">
        <v>2939</v>
      </c>
      <c r="P1341" s="202">
        <v>1325</v>
      </c>
      <c r="Q1341" s="210">
        <v>10</v>
      </c>
      <c r="R1341" s="205" t="s">
        <v>1083</v>
      </c>
      <c r="S1341" s="206" t="s">
        <v>85</v>
      </c>
      <c r="T1341" s="211">
        <v>193</v>
      </c>
      <c r="U1341" s="211">
        <v>0</v>
      </c>
      <c r="V1341" s="213">
        <v>261</v>
      </c>
      <c r="W1341" s="213">
        <v>135.22999999999999</v>
      </c>
    </row>
    <row r="1342" spans="1:23" ht="15" customHeight="1">
      <c r="C1342" s="3">
        <v>10</v>
      </c>
      <c r="D1342" s="15" t="s">
        <v>1008</v>
      </c>
      <c r="E1342" s="312" t="s">
        <v>1009</v>
      </c>
      <c r="G1342" s="26">
        <v>0</v>
      </c>
      <c r="H1342" s="26">
        <v>0</v>
      </c>
      <c r="I1342" s="26">
        <v>0</v>
      </c>
      <c r="J1342" s="26">
        <v>0</v>
      </c>
      <c r="K1342" s="26">
        <v>0</v>
      </c>
      <c r="L1342" s="26">
        <v>0</v>
      </c>
      <c r="M1342" s="26">
        <v>0</v>
      </c>
      <c r="N1342" s="26">
        <v>0</v>
      </c>
      <c r="O1342" s="285"/>
      <c r="P1342" s="202">
        <v>1326</v>
      </c>
      <c r="Q1342" s="210">
        <v>10</v>
      </c>
      <c r="R1342" s="205" t="s">
        <v>1084</v>
      </c>
      <c r="S1342" s="206" t="s">
        <v>87</v>
      </c>
      <c r="T1342" s="211">
        <v>4951</v>
      </c>
      <c r="U1342" s="211">
        <v>412.64</v>
      </c>
      <c r="V1342" s="213">
        <v>3296.96</v>
      </c>
      <c r="W1342" s="213">
        <v>66.59</v>
      </c>
    </row>
    <row r="1343" spans="1:23" ht="15" customHeight="1">
      <c r="C1343" s="3">
        <v>10</v>
      </c>
      <c r="D1343" s="15" t="s">
        <v>1010</v>
      </c>
      <c r="E1343" s="312" t="s">
        <v>329</v>
      </c>
      <c r="G1343" s="26">
        <v>0</v>
      </c>
      <c r="H1343" s="26">
        <v>0</v>
      </c>
      <c r="I1343" s="26">
        <v>0</v>
      </c>
      <c r="J1343" s="26">
        <v>0</v>
      </c>
      <c r="K1343" s="26">
        <v>0</v>
      </c>
      <c r="L1343" s="26">
        <v>0</v>
      </c>
      <c r="M1343" s="26">
        <v>0</v>
      </c>
      <c r="N1343" s="26">
        <v>0</v>
      </c>
      <c r="O1343" s="285"/>
      <c r="P1343" s="202">
        <v>1327</v>
      </c>
      <c r="Q1343" s="210">
        <v>10</v>
      </c>
      <c r="R1343" s="205" t="s">
        <v>1085</v>
      </c>
      <c r="S1343" s="206" t="s">
        <v>89</v>
      </c>
      <c r="T1343" s="211">
        <v>10366</v>
      </c>
      <c r="U1343" s="211">
        <v>878.68</v>
      </c>
      <c r="V1343" s="213">
        <v>7033.51</v>
      </c>
      <c r="W1343" s="213">
        <v>67.849999999999994</v>
      </c>
    </row>
    <row r="1344" spans="1:23" ht="15" customHeight="1">
      <c r="C1344" s="3">
        <v>10</v>
      </c>
      <c r="D1344" s="15" t="s">
        <v>1011</v>
      </c>
      <c r="E1344" s="312" t="s">
        <v>165</v>
      </c>
      <c r="G1344" s="26">
        <v>0</v>
      </c>
      <c r="H1344" s="26">
        <v>81</v>
      </c>
      <c r="I1344" s="26">
        <v>0</v>
      </c>
      <c r="J1344" s="26">
        <v>0</v>
      </c>
      <c r="K1344" s="26">
        <v>0</v>
      </c>
      <c r="L1344" s="26">
        <v>0</v>
      </c>
      <c r="M1344" s="26">
        <v>0</v>
      </c>
      <c r="N1344" s="26">
        <v>0</v>
      </c>
      <c r="O1344" s="285"/>
      <c r="P1344" s="202">
        <v>1328</v>
      </c>
      <c r="Q1344" s="210">
        <v>10</v>
      </c>
      <c r="R1344" s="205" t="s">
        <v>1086</v>
      </c>
      <c r="S1344" s="206" t="s">
        <v>91</v>
      </c>
      <c r="T1344" s="211">
        <v>0</v>
      </c>
      <c r="U1344" s="211">
        <v>0</v>
      </c>
      <c r="V1344" s="213">
        <v>0</v>
      </c>
      <c r="W1344" s="213">
        <v>0</v>
      </c>
    </row>
    <row r="1345" spans="1:23" ht="15" customHeight="1">
      <c r="C1345" s="3">
        <v>10</v>
      </c>
      <c r="D1345" s="15" t="s">
        <v>1012</v>
      </c>
      <c r="E1345" s="312" t="s">
        <v>167</v>
      </c>
      <c r="G1345" s="26">
        <v>491</v>
      </c>
      <c r="H1345" s="26">
        <v>1000</v>
      </c>
      <c r="I1345" s="26">
        <v>1435</v>
      </c>
      <c r="J1345" s="26">
        <v>396</v>
      </c>
      <c r="K1345" s="26">
        <v>1000</v>
      </c>
      <c r="L1345" s="26">
        <v>843</v>
      </c>
      <c r="M1345" s="26">
        <v>1445</v>
      </c>
      <c r="N1345" s="26">
        <v>1090</v>
      </c>
      <c r="O1345" s="285"/>
      <c r="P1345" s="202">
        <v>1329</v>
      </c>
      <c r="Q1345" s="210">
        <v>10</v>
      </c>
      <c r="R1345" s="205" t="s">
        <v>1087</v>
      </c>
      <c r="S1345" s="206" t="s">
        <v>93</v>
      </c>
      <c r="T1345" s="211">
        <v>0</v>
      </c>
      <c r="U1345" s="211">
        <v>0</v>
      </c>
      <c r="V1345" s="213">
        <v>0</v>
      </c>
      <c r="W1345" s="213">
        <v>0</v>
      </c>
    </row>
    <row r="1346" spans="1:23" ht="15" customHeight="1">
      <c r="C1346" s="3">
        <v>10</v>
      </c>
      <c r="D1346" s="15" t="s">
        <v>1013</v>
      </c>
      <c r="E1346" s="312" t="s">
        <v>169</v>
      </c>
      <c r="G1346" s="26">
        <v>98</v>
      </c>
      <c r="H1346" s="26">
        <v>176</v>
      </c>
      <c r="I1346" s="26">
        <v>191</v>
      </c>
      <c r="J1346" s="26">
        <v>291</v>
      </c>
      <c r="K1346" s="26">
        <v>200</v>
      </c>
      <c r="L1346" s="26">
        <v>144</v>
      </c>
      <c r="M1346" s="26">
        <v>247</v>
      </c>
      <c r="N1346" s="26">
        <v>290</v>
      </c>
      <c r="O1346" s="285"/>
      <c r="P1346" s="202">
        <v>1330</v>
      </c>
      <c r="Q1346" s="210">
        <v>10</v>
      </c>
      <c r="R1346" s="205" t="s">
        <v>1088</v>
      </c>
      <c r="S1346" s="206" t="s">
        <v>95</v>
      </c>
      <c r="T1346" s="211">
        <v>0</v>
      </c>
      <c r="U1346" s="211">
        <v>0</v>
      </c>
      <c r="V1346" s="213">
        <v>0</v>
      </c>
      <c r="W1346" s="213">
        <v>0</v>
      </c>
    </row>
    <row r="1347" spans="1:23" ht="15" customHeight="1">
      <c r="C1347" s="3">
        <v>10</v>
      </c>
      <c r="D1347" s="15" t="s">
        <v>1014</v>
      </c>
      <c r="E1347" s="312" t="s">
        <v>171</v>
      </c>
      <c r="G1347" s="26">
        <v>52</v>
      </c>
      <c r="H1347" s="26">
        <v>660</v>
      </c>
      <c r="I1347" s="26">
        <v>281</v>
      </c>
      <c r="J1347" s="26">
        <v>1652</v>
      </c>
      <c r="K1347" s="26">
        <v>1500</v>
      </c>
      <c r="L1347" s="26">
        <v>769</v>
      </c>
      <c r="M1347" s="26">
        <v>1318</v>
      </c>
      <c r="N1347" s="26">
        <v>1635</v>
      </c>
      <c r="O1347" s="285"/>
      <c r="P1347" s="202">
        <v>1331</v>
      </c>
      <c r="Q1347" s="210">
        <v>10</v>
      </c>
      <c r="R1347" s="205" t="s">
        <v>1089</v>
      </c>
      <c r="S1347" s="206" t="s">
        <v>97</v>
      </c>
      <c r="T1347" s="211">
        <v>0</v>
      </c>
      <c r="U1347" s="211">
        <v>16</v>
      </c>
      <c r="V1347" s="213">
        <v>16</v>
      </c>
      <c r="W1347" s="213">
        <v>0</v>
      </c>
    </row>
    <row r="1348" spans="1:23" ht="15" customHeight="1">
      <c r="C1348" s="3">
        <v>10</v>
      </c>
      <c r="D1348" s="15" t="s">
        <v>1015</v>
      </c>
      <c r="E1348" s="312" t="s">
        <v>173</v>
      </c>
      <c r="G1348" s="26">
        <v>247</v>
      </c>
      <c r="H1348" s="26">
        <v>2093</v>
      </c>
      <c r="I1348" s="26">
        <v>3493</v>
      </c>
      <c r="J1348" s="26">
        <v>1536</v>
      </c>
      <c r="K1348" s="26">
        <v>2100</v>
      </c>
      <c r="L1348" s="26">
        <v>1400</v>
      </c>
      <c r="M1348" s="26">
        <v>2400</v>
      </c>
      <c r="N1348" s="26">
        <v>2289</v>
      </c>
      <c r="O1348" s="285"/>
      <c r="P1348" s="202">
        <v>1332</v>
      </c>
      <c r="Q1348" s="210">
        <v>10</v>
      </c>
      <c r="R1348" s="205" t="s">
        <v>1090</v>
      </c>
      <c r="S1348" s="206" t="s">
        <v>99</v>
      </c>
      <c r="T1348" s="211">
        <v>59</v>
      </c>
      <c r="U1348" s="211">
        <v>0</v>
      </c>
      <c r="V1348" s="213">
        <v>57.24</v>
      </c>
      <c r="W1348" s="213">
        <v>97.02</v>
      </c>
    </row>
    <row r="1349" spans="1:23" ht="15" customHeight="1">
      <c r="C1349" s="3">
        <v>10</v>
      </c>
      <c r="D1349" s="15" t="s">
        <v>1016</v>
      </c>
      <c r="E1349" s="312" t="s">
        <v>175</v>
      </c>
      <c r="G1349" s="26">
        <v>0</v>
      </c>
      <c r="H1349" s="26">
        <v>0</v>
      </c>
      <c r="I1349" s="26">
        <v>0</v>
      </c>
      <c r="J1349" s="26">
        <v>0</v>
      </c>
      <c r="K1349" s="26">
        <v>0</v>
      </c>
      <c r="L1349" s="26">
        <v>0</v>
      </c>
      <c r="M1349" s="26">
        <v>0</v>
      </c>
      <c r="N1349" s="26">
        <v>0</v>
      </c>
      <c r="O1349" s="285"/>
      <c r="P1349" s="202">
        <v>1333</v>
      </c>
      <c r="Q1349" s="210">
        <v>10</v>
      </c>
      <c r="R1349" s="205" t="s">
        <v>1091</v>
      </c>
      <c r="S1349" s="206" t="s">
        <v>101</v>
      </c>
      <c r="T1349" s="211">
        <v>0</v>
      </c>
      <c r="U1349" s="211">
        <v>0</v>
      </c>
      <c r="V1349" s="213">
        <v>0</v>
      </c>
      <c r="W1349" s="213">
        <v>0</v>
      </c>
    </row>
    <row r="1350" spans="1:23" ht="15" customHeight="1">
      <c r="C1350" s="3">
        <v>10</v>
      </c>
      <c r="D1350" s="15" t="s">
        <v>1017</v>
      </c>
      <c r="E1350" s="312" t="s">
        <v>244</v>
      </c>
      <c r="G1350" s="26">
        <v>0</v>
      </c>
      <c r="H1350" s="26">
        <v>0</v>
      </c>
      <c r="I1350" s="26">
        <v>0</v>
      </c>
      <c r="J1350" s="26">
        <v>533</v>
      </c>
      <c r="K1350" s="26">
        <v>500</v>
      </c>
      <c r="L1350" s="26">
        <v>0</v>
      </c>
      <c r="M1350" s="26">
        <v>0</v>
      </c>
      <c r="N1350" s="26">
        <v>500</v>
      </c>
      <c r="O1350" s="285"/>
      <c r="P1350" s="202">
        <v>1334</v>
      </c>
      <c r="Q1350" s="210">
        <v>10</v>
      </c>
      <c r="R1350" s="205" t="s">
        <v>1092</v>
      </c>
      <c r="S1350" s="206" t="s">
        <v>103</v>
      </c>
      <c r="T1350" s="211">
        <v>0</v>
      </c>
      <c r="U1350" s="211">
        <v>0</v>
      </c>
      <c r="V1350" s="213">
        <v>0</v>
      </c>
      <c r="W1350" s="213">
        <v>0</v>
      </c>
    </row>
    <row r="1351" spans="1:23" ht="15" customHeight="1">
      <c r="C1351" s="3">
        <v>10</v>
      </c>
      <c r="D1351" s="15" t="s">
        <v>1018</v>
      </c>
      <c r="E1351" s="312" t="s">
        <v>1019</v>
      </c>
      <c r="G1351" s="26">
        <v>0</v>
      </c>
      <c r="H1351" s="26">
        <v>76</v>
      </c>
      <c r="I1351" s="26">
        <v>0</v>
      </c>
      <c r="J1351" s="26">
        <v>0</v>
      </c>
      <c r="K1351" s="26">
        <v>100</v>
      </c>
      <c r="L1351" s="26">
        <v>0</v>
      </c>
      <c r="M1351" s="26">
        <v>0</v>
      </c>
      <c r="N1351" s="26">
        <v>100</v>
      </c>
      <c r="O1351" s="285"/>
      <c r="P1351" s="202">
        <v>1335</v>
      </c>
      <c r="Q1351" s="210">
        <v>10</v>
      </c>
      <c r="R1351" s="205" t="s">
        <v>2623</v>
      </c>
      <c r="S1351" s="206"/>
      <c r="T1351" s="211"/>
      <c r="U1351" s="211"/>
      <c r="V1351" s="213"/>
      <c r="W1351" s="213"/>
    </row>
    <row r="1352" spans="1:23" ht="15" customHeight="1">
      <c r="G1352" s="26"/>
      <c r="H1352" s="26"/>
      <c r="I1352" s="26"/>
      <c r="J1352" s="26"/>
      <c r="K1352" s="26"/>
      <c r="L1352" s="26"/>
      <c r="M1352" s="26"/>
      <c r="N1352" s="26"/>
      <c r="P1352" s="202">
        <v>1336</v>
      </c>
      <c r="Q1352" s="210">
        <v>10</v>
      </c>
      <c r="R1352" s="205" t="s">
        <v>2621</v>
      </c>
      <c r="S1352" s="206"/>
      <c r="T1352" s="211">
        <v>86774</v>
      </c>
      <c r="U1352" s="211">
        <v>7240.24</v>
      </c>
      <c r="V1352" s="213">
        <v>58128.07</v>
      </c>
      <c r="W1352" s="213">
        <v>0</v>
      </c>
    </row>
    <row r="1353" spans="1:23" s="23" customFormat="1" ht="15" customHeight="1">
      <c r="A1353" s="2" t="s">
        <v>163</v>
      </c>
      <c r="B1353" s="2" t="s">
        <v>2317</v>
      </c>
      <c r="C1353" s="3"/>
      <c r="D1353" s="323" t="s">
        <v>2142</v>
      </c>
      <c r="E1353" s="323"/>
      <c r="F1353" s="324"/>
      <c r="G1353" s="325">
        <f>SUM(G1334:G1352)</f>
        <v>18789</v>
      </c>
      <c r="H1353" s="325">
        <f t="shared" ref="H1353:N1353" si="109">SUM(H1334:H1352)</f>
        <v>7989</v>
      </c>
      <c r="I1353" s="325">
        <f t="shared" si="109"/>
        <v>7786</v>
      </c>
      <c r="J1353" s="325">
        <f t="shared" si="109"/>
        <v>11485</v>
      </c>
      <c r="K1353" s="325">
        <f t="shared" si="109"/>
        <v>18700</v>
      </c>
      <c r="L1353" s="325">
        <f t="shared" si="109"/>
        <v>12475</v>
      </c>
      <c r="M1353" s="325">
        <f t="shared" si="109"/>
        <v>17179</v>
      </c>
      <c r="N1353" s="325">
        <f t="shared" si="109"/>
        <v>11204</v>
      </c>
      <c r="O1353" s="291"/>
      <c r="P1353" s="202">
        <v>1337</v>
      </c>
      <c r="Q1353" s="210">
        <v>10</v>
      </c>
      <c r="R1353" s="205" t="s">
        <v>104</v>
      </c>
      <c r="S1353" s="206"/>
      <c r="T1353" s="211"/>
      <c r="U1353" s="211"/>
      <c r="V1353" s="213"/>
      <c r="W1353" s="213"/>
    </row>
    <row r="1354" spans="1:23" s="46" customFormat="1" ht="15" customHeight="1">
      <c r="A1354" s="2"/>
      <c r="B1354" s="2"/>
      <c r="C1354" s="3"/>
      <c r="D1354" s="47"/>
      <c r="E1354" s="47"/>
      <c r="F1354" s="191"/>
      <c r="G1354" s="48"/>
      <c r="H1354" s="48"/>
      <c r="I1354" s="48"/>
      <c r="J1354" s="48"/>
      <c r="K1354" s="48"/>
      <c r="L1354" s="48"/>
      <c r="M1354" s="48"/>
      <c r="N1354" s="48"/>
      <c r="O1354" s="289"/>
      <c r="P1354" s="202">
        <v>1338</v>
      </c>
      <c r="Q1354" s="210">
        <v>10</v>
      </c>
      <c r="R1354" s="205" t="s">
        <v>2624</v>
      </c>
      <c r="S1354" s="206"/>
      <c r="T1354" s="211"/>
      <c r="U1354" s="211"/>
      <c r="V1354" s="213"/>
      <c r="W1354" s="213"/>
    </row>
    <row r="1355" spans="1:23" ht="15" customHeight="1">
      <c r="D1355" s="47" t="s">
        <v>2143</v>
      </c>
      <c r="G1355" s="26"/>
      <c r="H1355" s="26"/>
      <c r="I1355" s="26"/>
      <c r="J1355" s="26"/>
      <c r="K1355" s="26"/>
      <c r="L1355" s="26"/>
      <c r="M1355" s="26"/>
      <c r="N1355" s="26"/>
      <c r="P1355" s="202">
        <v>1339</v>
      </c>
      <c r="Q1355" s="210">
        <v>10</v>
      </c>
      <c r="R1355" s="205" t="s">
        <v>1093</v>
      </c>
      <c r="S1355" s="206" t="s">
        <v>115</v>
      </c>
      <c r="T1355" s="211">
        <v>250</v>
      </c>
      <c r="U1355" s="211">
        <v>11.99</v>
      </c>
      <c r="V1355" s="213">
        <v>533.66</v>
      </c>
      <c r="W1355" s="213">
        <v>213.46</v>
      </c>
    </row>
    <row r="1356" spans="1:23" ht="15" customHeight="1">
      <c r="G1356" s="26"/>
      <c r="H1356" s="26"/>
      <c r="I1356" s="26"/>
      <c r="J1356" s="26"/>
      <c r="K1356" s="26"/>
      <c r="L1356" s="26"/>
      <c r="M1356" s="26"/>
      <c r="N1356" s="26"/>
      <c r="P1356" s="202">
        <v>1340</v>
      </c>
      <c r="Q1356" s="210">
        <v>10</v>
      </c>
      <c r="R1356" s="205" t="s">
        <v>1094</v>
      </c>
      <c r="S1356" s="206" t="s">
        <v>117</v>
      </c>
      <c r="T1356" s="211">
        <v>0</v>
      </c>
      <c r="U1356" s="211">
        <v>0</v>
      </c>
      <c r="V1356" s="213">
        <v>0</v>
      </c>
      <c r="W1356" s="213">
        <v>0</v>
      </c>
    </row>
    <row r="1357" spans="1:23" ht="15" customHeight="1">
      <c r="C1357" s="3">
        <v>10</v>
      </c>
      <c r="D1357" s="15" t="s">
        <v>1020</v>
      </c>
      <c r="E1357" s="312" t="s">
        <v>232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85"/>
      <c r="P1357" s="202">
        <v>1341</v>
      </c>
      <c r="Q1357" s="210">
        <v>10</v>
      </c>
      <c r="R1357" s="205" t="s">
        <v>1095</v>
      </c>
      <c r="S1357" s="206" t="s">
        <v>119</v>
      </c>
      <c r="T1357" s="211">
        <v>25</v>
      </c>
      <c r="U1357" s="211">
        <v>0</v>
      </c>
      <c r="V1357" s="213">
        <v>74.12</v>
      </c>
      <c r="W1357" s="213">
        <v>296.48</v>
      </c>
    </row>
    <row r="1358" spans="1:23" ht="15" customHeight="1">
      <c r="C1358" s="3">
        <v>10</v>
      </c>
      <c r="D1358" s="15" t="s">
        <v>1021</v>
      </c>
      <c r="E1358" s="312" t="s">
        <v>1007</v>
      </c>
      <c r="G1358" s="26">
        <v>0</v>
      </c>
      <c r="H1358" s="26">
        <v>0</v>
      </c>
      <c r="I1358" s="26">
        <v>0</v>
      </c>
      <c r="J1358" s="26">
        <v>0</v>
      </c>
      <c r="K1358" s="26">
        <v>0</v>
      </c>
      <c r="L1358" s="26">
        <v>0</v>
      </c>
      <c r="M1358" s="26">
        <v>0</v>
      </c>
      <c r="N1358" s="26">
        <v>0</v>
      </c>
      <c r="O1358" s="285"/>
      <c r="P1358" s="202">
        <v>1342</v>
      </c>
      <c r="Q1358" s="210">
        <v>10</v>
      </c>
      <c r="R1358" s="205" t="s">
        <v>1096</v>
      </c>
      <c r="S1358" s="206" t="s">
        <v>121</v>
      </c>
      <c r="T1358" s="211">
        <v>100</v>
      </c>
      <c r="U1358" s="211">
        <v>0</v>
      </c>
      <c r="V1358" s="213">
        <v>0</v>
      </c>
      <c r="W1358" s="213">
        <v>0</v>
      </c>
    </row>
    <row r="1359" spans="1:23" ht="15" customHeight="1">
      <c r="C1359" s="3">
        <v>10</v>
      </c>
      <c r="D1359" s="15" t="s">
        <v>1022</v>
      </c>
      <c r="E1359" s="312" t="s">
        <v>1023</v>
      </c>
      <c r="G1359" s="26">
        <v>0</v>
      </c>
      <c r="H1359" s="26">
        <v>0</v>
      </c>
      <c r="I1359" s="26">
        <v>0</v>
      </c>
      <c r="J1359" s="26">
        <v>0</v>
      </c>
      <c r="K1359" s="26">
        <v>0</v>
      </c>
      <c r="L1359" s="26">
        <v>0</v>
      </c>
      <c r="M1359" s="26">
        <v>0</v>
      </c>
      <c r="N1359" s="26">
        <v>0</v>
      </c>
      <c r="O1359" s="285"/>
      <c r="P1359" s="202">
        <v>1343</v>
      </c>
      <c r="Q1359" s="210">
        <v>10</v>
      </c>
      <c r="R1359" s="205" t="s">
        <v>1097</v>
      </c>
      <c r="S1359" s="206" t="s">
        <v>123</v>
      </c>
      <c r="T1359" s="211">
        <v>0</v>
      </c>
      <c r="U1359" s="211">
        <v>0</v>
      </c>
      <c r="V1359" s="213">
        <v>0</v>
      </c>
      <c r="W1359" s="213">
        <v>0</v>
      </c>
    </row>
    <row r="1360" spans="1:23" ht="15" customHeight="1">
      <c r="C1360" s="3">
        <v>10</v>
      </c>
      <c r="D1360" s="15" t="s">
        <v>1024</v>
      </c>
      <c r="E1360" s="312" t="s">
        <v>329</v>
      </c>
      <c r="G1360" s="26">
        <v>0</v>
      </c>
      <c r="H1360" s="26">
        <v>0</v>
      </c>
      <c r="I1360" s="26">
        <v>0</v>
      </c>
      <c r="J1360" s="26">
        <v>0</v>
      </c>
      <c r="K1360" s="26">
        <v>0</v>
      </c>
      <c r="L1360" s="26">
        <v>0</v>
      </c>
      <c r="M1360" s="26">
        <v>0</v>
      </c>
      <c r="N1360" s="26">
        <v>0</v>
      </c>
      <c r="O1360" s="285"/>
      <c r="P1360" s="202">
        <v>1344</v>
      </c>
      <c r="Q1360" s="210">
        <v>10</v>
      </c>
      <c r="R1360" s="205" t="s">
        <v>1098</v>
      </c>
      <c r="S1360" s="206" t="s">
        <v>125</v>
      </c>
      <c r="T1360" s="211">
        <v>0</v>
      </c>
      <c r="U1360" s="211">
        <v>0</v>
      </c>
      <c r="V1360" s="213">
        <v>0</v>
      </c>
      <c r="W1360" s="213">
        <v>0</v>
      </c>
    </row>
    <row r="1361" spans="1:23" ht="15" customHeight="1">
      <c r="C1361" s="3">
        <v>10</v>
      </c>
      <c r="D1361" s="15" t="s">
        <v>1025</v>
      </c>
      <c r="E1361" s="312" t="s">
        <v>165</v>
      </c>
      <c r="G1361" s="26">
        <v>0</v>
      </c>
      <c r="H1361" s="26">
        <v>0</v>
      </c>
      <c r="I1361" s="26">
        <v>0</v>
      </c>
      <c r="J1361" s="26">
        <v>0</v>
      </c>
      <c r="K1361" s="26">
        <v>0</v>
      </c>
      <c r="L1361" s="26">
        <v>0</v>
      </c>
      <c r="M1361" s="26">
        <v>0</v>
      </c>
      <c r="N1361" s="26">
        <v>0</v>
      </c>
      <c r="O1361" s="285"/>
      <c r="P1361" s="202">
        <v>1345</v>
      </c>
      <c r="Q1361" s="210">
        <v>10</v>
      </c>
      <c r="R1361" s="205" t="s">
        <v>1099</v>
      </c>
      <c r="S1361" s="206" t="s">
        <v>106</v>
      </c>
      <c r="T1361" s="211">
        <v>0</v>
      </c>
      <c r="U1361" s="211">
        <v>0</v>
      </c>
      <c r="V1361" s="213">
        <v>0</v>
      </c>
      <c r="W1361" s="213">
        <v>0</v>
      </c>
    </row>
    <row r="1362" spans="1:23" ht="15" customHeight="1">
      <c r="C1362" s="3">
        <v>10</v>
      </c>
      <c r="D1362" s="15" t="s">
        <v>1026</v>
      </c>
      <c r="E1362" s="312" t="s">
        <v>167</v>
      </c>
      <c r="G1362" s="26">
        <v>0</v>
      </c>
      <c r="H1362" s="26">
        <v>0</v>
      </c>
      <c r="I1362" s="26">
        <v>0</v>
      </c>
      <c r="J1362" s="26">
        <v>0</v>
      </c>
      <c r="K1362" s="26">
        <v>0</v>
      </c>
      <c r="L1362" s="26">
        <v>0</v>
      </c>
      <c r="M1362" s="26">
        <v>0</v>
      </c>
      <c r="N1362" s="26">
        <v>0</v>
      </c>
      <c r="O1362" s="285"/>
      <c r="P1362" s="202">
        <v>1346</v>
      </c>
      <c r="Q1362" s="210">
        <v>10</v>
      </c>
      <c r="R1362" s="205" t="s">
        <v>1100</v>
      </c>
      <c r="S1362" s="206" t="s">
        <v>200</v>
      </c>
      <c r="T1362" s="211">
        <v>0</v>
      </c>
      <c r="U1362" s="211">
        <v>0</v>
      </c>
      <c r="V1362" s="213">
        <v>0</v>
      </c>
      <c r="W1362" s="213">
        <v>0</v>
      </c>
    </row>
    <row r="1363" spans="1:23" ht="15" customHeight="1">
      <c r="C1363" s="3">
        <v>10</v>
      </c>
      <c r="D1363" s="15" t="s">
        <v>1027</v>
      </c>
      <c r="E1363" s="312" t="s">
        <v>247</v>
      </c>
      <c r="G1363" s="26">
        <v>0</v>
      </c>
      <c r="H1363" s="26">
        <v>0</v>
      </c>
      <c r="I1363" s="26">
        <v>0</v>
      </c>
      <c r="J1363" s="26">
        <v>0</v>
      </c>
      <c r="K1363" s="26">
        <v>0</v>
      </c>
      <c r="L1363" s="26">
        <v>0</v>
      </c>
      <c r="M1363" s="26">
        <v>0</v>
      </c>
      <c r="N1363" s="26">
        <v>0</v>
      </c>
      <c r="O1363" s="285" t="s">
        <v>2941</v>
      </c>
      <c r="P1363" s="202">
        <v>1347</v>
      </c>
      <c r="Q1363" s="210">
        <v>10</v>
      </c>
      <c r="R1363" s="205" t="s">
        <v>1101</v>
      </c>
      <c r="S1363" s="206" t="s">
        <v>132</v>
      </c>
      <c r="T1363" s="211">
        <v>150</v>
      </c>
      <c r="U1363" s="211">
        <v>0</v>
      </c>
      <c r="V1363" s="213">
        <v>54.62</v>
      </c>
      <c r="W1363" s="213">
        <v>36.409999999999997</v>
      </c>
    </row>
    <row r="1364" spans="1:23" ht="15" customHeight="1">
      <c r="C1364" s="3">
        <v>10</v>
      </c>
      <c r="D1364" s="15" t="s">
        <v>1028</v>
      </c>
      <c r="E1364" s="312" t="s">
        <v>461</v>
      </c>
      <c r="G1364" s="26">
        <v>0</v>
      </c>
      <c r="H1364" s="26">
        <v>0</v>
      </c>
      <c r="I1364" s="26">
        <v>0</v>
      </c>
      <c r="J1364" s="26">
        <v>0</v>
      </c>
      <c r="K1364" s="26">
        <v>0</v>
      </c>
      <c r="L1364" s="26">
        <v>0</v>
      </c>
      <c r="M1364" s="26">
        <v>0</v>
      </c>
      <c r="N1364" s="26">
        <v>0</v>
      </c>
      <c r="O1364" s="285"/>
      <c r="P1364" s="202">
        <v>1348</v>
      </c>
      <c r="Q1364" s="210">
        <v>10</v>
      </c>
      <c r="R1364" s="205" t="s">
        <v>1102</v>
      </c>
      <c r="S1364" s="206" t="s">
        <v>134</v>
      </c>
      <c r="T1364" s="211">
        <v>0</v>
      </c>
      <c r="U1364" s="211">
        <v>0</v>
      </c>
      <c r="V1364" s="213">
        <v>0</v>
      </c>
      <c r="W1364" s="213">
        <v>0</v>
      </c>
    </row>
    <row r="1365" spans="1:23" ht="15" customHeight="1">
      <c r="C1365" s="3">
        <v>10</v>
      </c>
      <c r="D1365" s="15" t="s">
        <v>1029</v>
      </c>
      <c r="E1365" s="312" t="s">
        <v>382</v>
      </c>
      <c r="G1365" s="26">
        <v>0</v>
      </c>
      <c r="H1365" s="26">
        <v>-6700</v>
      </c>
      <c r="I1365" s="26">
        <v>0</v>
      </c>
      <c r="J1365" s="26">
        <v>0</v>
      </c>
      <c r="K1365" s="26">
        <v>0</v>
      </c>
      <c r="L1365" s="26">
        <v>0</v>
      </c>
      <c r="M1365" s="26">
        <v>0</v>
      </c>
      <c r="N1365" s="26">
        <v>0</v>
      </c>
      <c r="O1365" s="285"/>
      <c r="P1365" s="202">
        <v>1349</v>
      </c>
      <c r="Q1365" s="210">
        <v>10</v>
      </c>
      <c r="R1365" s="205" t="s">
        <v>2623</v>
      </c>
      <c r="S1365" s="206"/>
      <c r="T1365" s="211"/>
      <c r="U1365" s="211"/>
      <c r="V1365" s="213"/>
      <c r="W1365" s="213"/>
    </row>
    <row r="1366" spans="1:23" ht="15" customHeight="1">
      <c r="C1366" s="3">
        <v>10</v>
      </c>
      <c r="D1366" s="15" t="s">
        <v>1030</v>
      </c>
      <c r="E1366" s="312" t="s">
        <v>173</v>
      </c>
      <c r="G1366" s="26">
        <v>12216</v>
      </c>
      <c r="H1366" s="26">
        <v>0</v>
      </c>
      <c r="I1366" s="26">
        <v>0</v>
      </c>
      <c r="J1366" s="26">
        <v>0</v>
      </c>
      <c r="K1366" s="26">
        <v>0</v>
      </c>
      <c r="L1366" s="26">
        <v>0</v>
      </c>
      <c r="M1366" s="26">
        <v>0</v>
      </c>
      <c r="N1366" s="26">
        <v>0</v>
      </c>
      <c r="O1366" s="285"/>
      <c r="P1366" s="202">
        <v>1350</v>
      </c>
      <c r="Q1366" s="210">
        <v>10</v>
      </c>
      <c r="R1366" s="205" t="s">
        <v>104</v>
      </c>
      <c r="S1366" s="206"/>
      <c r="T1366" s="211">
        <v>525</v>
      </c>
      <c r="U1366" s="211">
        <v>11.99</v>
      </c>
      <c r="V1366" s="213">
        <v>662.4</v>
      </c>
      <c r="W1366" s="213">
        <v>0</v>
      </c>
    </row>
    <row r="1367" spans="1:23" ht="15" customHeight="1">
      <c r="C1367" s="3">
        <v>10</v>
      </c>
      <c r="D1367" s="15" t="s">
        <v>1031</v>
      </c>
      <c r="E1367" s="312" t="s">
        <v>244</v>
      </c>
      <c r="G1367" s="26">
        <v>0</v>
      </c>
      <c r="H1367" s="26">
        <v>0</v>
      </c>
      <c r="I1367" s="26">
        <v>0</v>
      </c>
      <c r="J1367" s="26">
        <v>0</v>
      </c>
      <c r="K1367" s="26">
        <v>0</v>
      </c>
      <c r="L1367" s="26">
        <v>0</v>
      </c>
      <c r="M1367" s="26">
        <v>0</v>
      </c>
      <c r="N1367" s="26">
        <v>0</v>
      </c>
      <c r="O1367" s="285"/>
      <c r="P1367" s="202">
        <v>1351</v>
      </c>
      <c r="Q1367" s="210">
        <v>10</v>
      </c>
      <c r="R1367" s="205" t="s">
        <v>135</v>
      </c>
      <c r="S1367" s="206"/>
      <c r="T1367" s="211"/>
      <c r="U1367" s="211"/>
      <c r="V1367" s="213"/>
      <c r="W1367" s="213"/>
    </row>
    <row r="1368" spans="1:23" ht="15" customHeight="1">
      <c r="G1368" s="26"/>
      <c r="H1368" s="26"/>
      <c r="I1368" s="26"/>
      <c r="J1368" s="26"/>
      <c r="K1368" s="26"/>
      <c r="L1368" s="26"/>
      <c r="M1368" s="26"/>
      <c r="N1368" s="26"/>
      <c r="P1368" s="202">
        <v>1352</v>
      </c>
      <c r="Q1368" s="210">
        <v>10</v>
      </c>
      <c r="R1368" s="205" t="s">
        <v>2626</v>
      </c>
      <c r="S1368" s="206"/>
      <c r="T1368" s="211"/>
      <c r="U1368" s="211"/>
      <c r="V1368" s="213"/>
      <c r="W1368" s="213"/>
    </row>
    <row r="1369" spans="1:23" s="24" customFormat="1" ht="15" customHeight="1">
      <c r="A1369" s="2" t="s">
        <v>245</v>
      </c>
      <c r="B1369" s="2" t="s">
        <v>2317</v>
      </c>
      <c r="C1369" s="3"/>
      <c r="D1369" s="323" t="s">
        <v>2144</v>
      </c>
      <c r="E1369" s="323"/>
      <c r="F1369" s="324"/>
      <c r="G1369" s="325">
        <f>SUM(G1355:G1368)</f>
        <v>12216</v>
      </c>
      <c r="H1369" s="325">
        <f t="shared" ref="H1369:N1369" si="110">SUM(H1355:H1368)</f>
        <v>-6700</v>
      </c>
      <c r="I1369" s="325">
        <f t="shared" si="110"/>
        <v>0</v>
      </c>
      <c r="J1369" s="325">
        <f t="shared" si="110"/>
        <v>0</v>
      </c>
      <c r="K1369" s="325">
        <f t="shared" si="110"/>
        <v>0</v>
      </c>
      <c r="L1369" s="325">
        <f t="shared" si="110"/>
        <v>0</v>
      </c>
      <c r="M1369" s="325">
        <f t="shared" si="110"/>
        <v>0</v>
      </c>
      <c r="N1369" s="325">
        <f t="shared" si="110"/>
        <v>0</v>
      </c>
      <c r="O1369" s="292"/>
      <c r="P1369" s="202">
        <v>1353</v>
      </c>
      <c r="Q1369" s="210">
        <v>10</v>
      </c>
      <c r="R1369" s="205" t="s">
        <v>1103</v>
      </c>
      <c r="S1369" s="206" t="s">
        <v>137</v>
      </c>
      <c r="T1369" s="211">
        <v>700</v>
      </c>
      <c r="U1369" s="211">
        <v>49.34</v>
      </c>
      <c r="V1369" s="213">
        <v>486.45</v>
      </c>
      <c r="W1369" s="213">
        <v>69.489999999999995</v>
      </c>
    </row>
    <row r="1370" spans="1:23" ht="15" customHeight="1">
      <c r="G1370" s="26"/>
      <c r="H1370" s="26"/>
      <c r="I1370" s="26"/>
      <c r="J1370" s="26"/>
      <c r="K1370" s="26"/>
      <c r="L1370" s="26"/>
      <c r="M1370" s="26"/>
      <c r="N1370" s="26"/>
      <c r="P1370" s="202">
        <v>1354</v>
      </c>
      <c r="Q1370" s="210">
        <v>10</v>
      </c>
      <c r="R1370" s="205" t="s">
        <v>1104</v>
      </c>
      <c r="S1370" s="206" t="s">
        <v>216</v>
      </c>
      <c r="T1370" s="211">
        <v>0</v>
      </c>
      <c r="U1370" s="211">
        <v>0</v>
      </c>
      <c r="V1370" s="213">
        <v>0</v>
      </c>
      <c r="W1370" s="213">
        <v>0</v>
      </c>
    </row>
    <row r="1371" spans="1:23" s="43" customFormat="1" ht="15" customHeight="1" thickBot="1">
      <c r="A1371" s="2"/>
      <c r="B1371" s="2" t="s">
        <v>2317</v>
      </c>
      <c r="C1371" s="3"/>
      <c r="D1371" s="68" t="s">
        <v>1991</v>
      </c>
      <c r="E1371" s="326"/>
      <c r="F1371" s="327"/>
      <c r="G1371" s="328">
        <f t="shared" ref="G1371:N1371" si="111">+G1369+G1353+G1332+G1314+G1291</f>
        <v>171430</v>
      </c>
      <c r="H1371" s="328">
        <f t="shared" si="111"/>
        <v>118520</v>
      </c>
      <c r="I1371" s="328">
        <f t="shared" si="111"/>
        <v>155198</v>
      </c>
      <c r="J1371" s="328">
        <f t="shared" si="111"/>
        <v>177813</v>
      </c>
      <c r="K1371" s="328">
        <f t="shared" si="111"/>
        <v>197024</v>
      </c>
      <c r="L1371" s="328">
        <f t="shared" si="111"/>
        <v>97164</v>
      </c>
      <c r="M1371" s="328">
        <f t="shared" si="111"/>
        <v>157719.72000000003</v>
      </c>
      <c r="N1371" s="328">
        <f t="shared" si="111"/>
        <v>182054</v>
      </c>
      <c r="O1371" s="288"/>
      <c r="P1371" s="202">
        <v>1355</v>
      </c>
      <c r="Q1371" s="210">
        <v>10</v>
      </c>
      <c r="R1371" s="205" t="s">
        <v>1105</v>
      </c>
      <c r="S1371" s="206" t="s">
        <v>139</v>
      </c>
      <c r="T1371" s="211">
        <v>25000</v>
      </c>
      <c r="U1371" s="211">
        <v>0</v>
      </c>
      <c r="V1371" s="213">
        <v>25000</v>
      </c>
      <c r="W1371" s="213">
        <v>100</v>
      </c>
    </row>
    <row r="1372" spans="1:23" s="45" customFormat="1" ht="15" customHeight="1" thickTop="1">
      <c r="A1372" s="2"/>
      <c r="B1372" s="2"/>
      <c r="C1372" s="3"/>
      <c r="D1372" s="47"/>
      <c r="E1372" s="15"/>
      <c r="F1372" s="105"/>
      <c r="G1372" s="26"/>
      <c r="H1372" s="26"/>
      <c r="I1372" s="26"/>
      <c r="J1372" s="26"/>
      <c r="K1372" s="26"/>
      <c r="L1372" s="26"/>
      <c r="M1372" s="26"/>
      <c r="N1372" s="26"/>
      <c r="O1372" s="275"/>
      <c r="P1372" s="202">
        <v>1356</v>
      </c>
      <c r="Q1372" s="210">
        <v>10</v>
      </c>
      <c r="R1372" s="205" t="s">
        <v>1106</v>
      </c>
      <c r="S1372" s="206" t="s">
        <v>141</v>
      </c>
      <c r="T1372" s="211">
        <v>0</v>
      </c>
      <c r="U1372" s="211">
        <v>0</v>
      </c>
      <c r="V1372" s="213">
        <v>0</v>
      </c>
      <c r="W1372" s="213">
        <v>0</v>
      </c>
    </row>
    <row r="1373" spans="1:23" s="45" customFormat="1" ht="15" customHeight="1">
      <c r="A1373" s="2"/>
      <c r="B1373" s="2"/>
      <c r="C1373" s="3"/>
      <c r="D1373" s="47" t="s">
        <v>14</v>
      </c>
      <c r="E1373" s="15"/>
      <c r="F1373" s="105"/>
      <c r="G1373" s="26"/>
      <c r="H1373" s="26"/>
      <c r="I1373" s="26"/>
      <c r="J1373" s="26"/>
      <c r="K1373" s="26"/>
      <c r="L1373" s="26"/>
      <c r="M1373" s="26"/>
      <c r="N1373" s="26"/>
      <c r="O1373" s="275"/>
      <c r="P1373" s="202">
        <v>1357</v>
      </c>
      <c r="Q1373" s="210">
        <v>10</v>
      </c>
      <c r="R1373" s="205" t="s">
        <v>1107</v>
      </c>
      <c r="S1373" s="206" t="s">
        <v>145</v>
      </c>
      <c r="T1373" s="211">
        <v>0</v>
      </c>
      <c r="U1373" s="211">
        <v>0</v>
      </c>
      <c r="V1373" s="213">
        <v>0</v>
      </c>
      <c r="W1373" s="213">
        <v>0</v>
      </c>
    </row>
    <row r="1374" spans="1:23" s="45" customFormat="1" ht="15" customHeight="1">
      <c r="A1374" s="2"/>
      <c r="B1374" s="2"/>
      <c r="C1374" s="3"/>
      <c r="D1374" s="47"/>
      <c r="E1374" s="15"/>
      <c r="F1374" s="105"/>
      <c r="G1374" s="26"/>
      <c r="H1374" s="26"/>
      <c r="I1374" s="26"/>
      <c r="J1374" s="26"/>
      <c r="K1374" s="26"/>
      <c r="L1374" s="26"/>
      <c r="M1374" s="26"/>
      <c r="N1374" s="26"/>
      <c r="O1374" s="275"/>
      <c r="P1374" s="202">
        <v>1358</v>
      </c>
      <c r="Q1374" s="210">
        <v>10</v>
      </c>
      <c r="R1374" s="205" t="s">
        <v>1108</v>
      </c>
      <c r="S1374" s="206" t="s">
        <v>147</v>
      </c>
      <c r="T1374" s="211">
        <v>0</v>
      </c>
      <c r="U1374" s="211">
        <v>0</v>
      </c>
      <c r="V1374" s="213">
        <v>0</v>
      </c>
      <c r="W1374" s="213">
        <v>0</v>
      </c>
    </row>
    <row r="1375" spans="1:23" s="5" customFormat="1" ht="15" customHeight="1">
      <c r="A1375" s="2"/>
      <c r="B1375" s="2"/>
      <c r="C1375" s="3"/>
      <c r="D1375" s="47" t="s">
        <v>2145</v>
      </c>
      <c r="E1375" s="15"/>
      <c r="F1375" s="105"/>
      <c r="G1375" s="26"/>
      <c r="H1375" s="26"/>
      <c r="I1375" s="26"/>
      <c r="J1375" s="26"/>
      <c r="K1375" s="26"/>
      <c r="L1375" s="26"/>
      <c r="M1375" s="26"/>
      <c r="N1375" s="26"/>
      <c r="O1375" s="282"/>
      <c r="P1375" s="202">
        <v>1359</v>
      </c>
      <c r="Q1375" s="210">
        <v>10</v>
      </c>
      <c r="R1375" s="205" t="s">
        <v>1109</v>
      </c>
      <c r="S1375" s="206" t="s">
        <v>151</v>
      </c>
      <c r="T1375" s="211">
        <v>0</v>
      </c>
      <c r="U1375" s="211">
        <v>0</v>
      </c>
      <c r="V1375" s="213">
        <v>0</v>
      </c>
      <c r="W1375" s="213">
        <v>0</v>
      </c>
    </row>
    <row r="1376" spans="1:23" ht="15" customHeight="1">
      <c r="G1376" s="26"/>
      <c r="H1376" s="26"/>
      <c r="I1376" s="26"/>
      <c r="J1376" s="26"/>
      <c r="K1376" s="26"/>
      <c r="L1376" s="26"/>
      <c r="M1376" s="26"/>
      <c r="N1376" s="26"/>
      <c r="P1376" s="202">
        <v>1360</v>
      </c>
      <c r="Q1376" s="210">
        <v>10</v>
      </c>
      <c r="R1376" s="205" t="s">
        <v>1110</v>
      </c>
      <c r="S1376" s="206" t="s">
        <v>153</v>
      </c>
      <c r="T1376" s="211">
        <v>1100</v>
      </c>
      <c r="U1376" s="211">
        <v>454.87</v>
      </c>
      <c r="V1376" s="213">
        <v>909.74</v>
      </c>
      <c r="W1376" s="213">
        <v>82.7</v>
      </c>
    </row>
    <row r="1377" spans="1:23" ht="15" customHeight="1">
      <c r="C1377" s="3">
        <v>10</v>
      </c>
      <c r="D1377" s="15" t="s">
        <v>1032</v>
      </c>
      <c r="E1377" s="312" t="s">
        <v>79</v>
      </c>
      <c r="G1377" s="26">
        <v>33516</v>
      </c>
      <c r="H1377" s="26">
        <v>28122</v>
      </c>
      <c r="I1377" s="26">
        <v>27529</v>
      </c>
      <c r="J1377" s="26">
        <v>30077</v>
      </c>
      <c r="K1377" s="26">
        <v>29496</v>
      </c>
      <c r="L1377" s="26">
        <v>17822</v>
      </c>
      <c r="M1377" s="26">
        <f>22914*1.33</f>
        <v>30475.620000000003</v>
      </c>
      <c r="N1377" s="26">
        <v>30682</v>
      </c>
      <c r="P1377" s="202">
        <v>1361</v>
      </c>
      <c r="Q1377" s="210">
        <v>10</v>
      </c>
      <c r="R1377" s="205" t="s">
        <v>1111</v>
      </c>
      <c r="S1377" s="206" t="s">
        <v>155</v>
      </c>
      <c r="T1377" s="211">
        <v>0</v>
      </c>
      <c r="U1377" s="211">
        <v>0</v>
      </c>
      <c r="V1377" s="213">
        <v>0</v>
      </c>
      <c r="W1377" s="213">
        <v>0</v>
      </c>
    </row>
    <row r="1378" spans="1:23" ht="15" customHeight="1">
      <c r="C1378" s="3">
        <v>10</v>
      </c>
      <c r="D1378" s="15" t="s">
        <v>1033</v>
      </c>
      <c r="E1378" s="312" t="s">
        <v>81</v>
      </c>
      <c r="G1378" s="26">
        <v>7491</v>
      </c>
      <c r="H1378" s="26">
        <v>6659</v>
      </c>
      <c r="I1378" s="26">
        <v>6382</v>
      </c>
      <c r="J1378" s="26">
        <v>6659</v>
      </c>
      <c r="K1378" s="26">
        <v>6659</v>
      </c>
      <c r="L1378" s="26">
        <v>3893</v>
      </c>
      <c r="M1378" s="26">
        <f>5002*1.33</f>
        <v>6652.6600000000008</v>
      </c>
      <c r="N1378" s="26">
        <v>6659</v>
      </c>
      <c r="P1378" s="202">
        <v>1362</v>
      </c>
      <c r="Q1378" s="210">
        <v>10</v>
      </c>
      <c r="R1378" s="205" t="s">
        <v>1112</v>
      </c>
      <c r="S1378" s="206" t="s">
        <v>157</v>
      </c>
      <c r="T1378" s="211">
        <v>0</v>
      </c>
      <c r="U1378" s="211">
        <v>11.52</v>
      </c>
      <c r="V1378" s="213">
        <v>11.52</v>
      </c>
      <c r="W1378" s="213">
        <v>0</v>
      </c>
    </row>
    <row r="1379" spans="1:23" ht="15" customHeight="1">
      <c r="C1379" s="3">
        <v>10</v>
      </c>
      <c r="D1379" s="15" t="s">
        <v>1034</v>
      </c>
      <c r="E1379" s="312" t="s">
        <v>83</v>
      </c>
      <c r="G1379" s="26">
        <v>0</v>
      </c>
      <c r="H1379" s="26">
        <v>45</v>
      </c>
      <c r="I1379" s="26">
        <v>0</v>
      </c>
      <c r="J1379" s="26">
        <v>0</v>
      </c>
      <c r="K1379" s="26">
        <v>0</v>
      </c>
      <c r="L1379" s="26">
        <v>0</v>
      </c>
      <c r="M1379" s="26">
        <v>0</v>
      </c>
      <c r="N1379" s="26">
        <v>0</v>
      </c>
      <c r="P1379" s="202">
        <v>1363</v>
      </c>
      <c r="Q1379" s="210">
        <v>10</v>
      </c>
      <c r="R1379" s="205" t="s">
        <v>1113</v>
      </c>
      <c r="S1379" s="206" t="s">
        <v>159</v>
      </c>
      <c r="T1379" s="211">
        <v>0</v>
      </c>
      <c r="U1379" s="211">
        <v>0</v>
      </c>
      <c r="V1379" s="213">
        <v>0</v>
      </c>
      <c r="W1379" s="213">
        <v>0</v>
      </c>
    </row>
    <row r="1380" spans="1:23" ht="15" customHeight="1">
      <c r="C1380" s="3">
        <v>10</v>
      </c>
      <c r="D1380" s="15" t="s">
        <v>1035</v>
      </c>
      <c r="E1380" s="312" t="s">
        <v>85</v>
      </c>
      <c r="G1380" s="26">
        <v>79</v>
      </c>
      <c r="H1380" s="26">
        <v>99</v>
      </c>
      <c r="I1380" s="26">
        <v>189</v>
      </c>
      <c r="J1380" s="26">
        <v>72</v>
      </c>
      <c r="K1380" s="26">
        <v>275</v>
      </c>
      <c r="L1380" s="26">
        <v>222</v>
      </c>
      <c r="M1380" s="26">
        <f>221*1.33</f>
        <v>293.93</v>
      </c>
      <c r="N1380" s="26">
        <v>300</v>
      </c>
      <c r="P1380" s="202">
        <v>1364</v>
      </c>
      <c r="Q1380" s="210">
        <v>10</v>
      </c>
      <c r="R1380" s="205" t="s">
        <v>1114</v>
      </c>
      <c r="S1380" s="206" t="s">
        <v>229</v>
      </c>
      <c r="T1380" s="211">
        <v>0</v>
      </c>
      <c r="U1380" s="211">
        <v>0</v>
      </c>
      <c r="V1380" s="213">
        <v>0</v>
      </c>
      <c r="W1380" s="213">
        <v>0</v>
      </c>
    </row>
    <row r="1381" spans="1:23" ht="15" customHeight="1">
      <c r="C1381" s="3">
        <v>10</v>
      </c>
      <c r="D1381" s="15" t="s">
        <v>1036</v>
      </c>
      <c r="E1381" s="312" t="s">
        <v>87</v>
      </c>
      <c r="G1381" s="26">
        <v>2607</v>
      </c>
      <c r="H1381" s="26">
        <v>1836</v>
      </c>
      <c r="I1381" s="26">
        <v>1758</v>
      </c>
      <c r="J1381" s="26">
        <v>1875</v>
      </c>
      <c r="K1381" s="26">
        <v>2262</v>
      </c>
      <c r="L1381" s="26">
        <v>1122</v>
      </c>
      <c r="M1381" s="26">
        <f>1440*1.33</f>
        <v>1915.2</v>
      </c>
      <c r="N1381" s="26">
        <v>2369</v>
      </c>
      <c r="P1381" s="202">
        <v>1365</v>
      </c>
      <c r="Q1381" s="210">
        <v>10</v>
      </c>
      <c r="R1381" s="205" t="s">
        <v>1115</v>
      </c>
      <c r="S1381" s="206" t="s">
        <v>162</v>
      </c>
      <c r="T1381" s="211">
        <v>0</v>
      </c>
      <c r="U1381" s="211">
        <v>0</v>
      </c>
      <c r="V1381" s="213">
        <v>63.6</v>
      </c>
      <c r="W1381" s="213">
        <v>0</v>
      </c>
    </row>
    <row r="1382" spans="1:23" ht="15" customHeight="1">
      <c r="C1382" s="3">
        <v>10</v>
      </c>
      <c r="D1382" s="15" t="s">
        <v>1037</v>
      </c>
      <c r="E1382" s="312" t="s">
        <v>89</v>
      </c>
      <c r="G1382" s="26">
        <v>4933</v>
      </c>
      <c r="H1382" s="26">
        <v>4060</v>
      </c>
      <c r="I1382" s="26">
        <v>4170</v>
      </c>
      <c r="J1382" s="26">
        <v>4856</v>
      </c>
      <c r="K1382" s="26">
        <v>4737</v>
      </c>
      <c r="L1382" s="26">
        <v>2931</v>
      </c>
      <c r="M1382" s="26">
        <f>3760*1.33</f>
        <v>5000.8</v>
      </c>
      <c r="N1382" s="26">
        <v>5415</v>
      </c>
      <c r="P1382" s="202">
        <v>1366</v>
      </c>
      <c r="Q1382" s="210">
        <v>10</v>
      </c>
      <c r="R1382" s="205" t="s">
        <v>2623</v>
      </c>
      <c r="S1382" s="206"/>
      <c r="T1382" s="211"/>
      <c r="U1382" s="211"/>
      <c r="V1382" s="213"/>
      <c r="W1382" s="213"/>
    </row>
    <row r="1383" spans="1:23" ht="15" customHeight="1">
      <c r="C1383" s="3">
        <v>10</v>
      </c>
      <c r="D1383" s="15" t="s">
        <v>1038</v>
      </c>
      <c r="E1383" s="312" t="s">
        <v>91</v>
      </c>
      <c r="G1383" s="26">
        <v>0</v>
      </c>
      <c r="H1383" s="26">
        <v>0</v>
      </c>
      <c r="I1383" s="26">
        <v>0</v>
      </c>
      <c r="J1383" s="26">
        <v>0</v>
      </c>
      <c r="K1383" s="26">
        <v>0</v>
      </c>
      <c r="L1383" s="26">
        <v>0</v>
      </c>
      <c r="M1383" s="26">
        <v>0</v>
      </c>
      <c r="N1383" s="26">
        <v>0</v>
      </c>
      <c r="P1383" s="202">
        <v>1367</v>
      </c>
      <c r="Q1383" s="210">
        <v>10</v>
      </c>
      <c r="R1383" s="205" t="s">
        <v>135</v>
      </c>
      <c r="S1383" s="206"/>
      <c r="T1383" s="211">
        <v>26800</v>
      </c>
      <c r="U1383" s="211">
        <v>515.73</v>
      </c>
      <c r="V1383" s="213">
        <v>26471.31</v>
      </c>
      <c r="W1383" s="213">
        <v>0</v>
      </c>
    </row>
    <row r="1384" spans="1:23" ht="15" customHeight="1">
      <c r="C1384" s="3">
        <v>10</v>
      </c>
      <c r="D1384" s="15" t="s">
        <v>1039</v>
      </c>
      <c r="E1384" s="312" t="s">
        <v>93</v>
      </c>
      <c r="G1384" s="26">
        <v>0</v>
      </c>
      <c r="H1384" s="26">
        <v>0</v>
      </c>
      <c r="I1384" s="26">
        <v>0</v>
      </c>
      <c r="J1384" s="26">
        <v>0</v>
      </c>
      <c r="K1384" s="26">
        <v>0</v>
      </c>
      <c r="L1384" s="26">
        <v>0</v>
      </c>
      <c r="M1384" s="26">
        <v>0</v>
      </c>
      <c r="N1384" s="26">
        <v>0</v>
      </c>
      <c r="P1384" s="202">
        <v>1368</v>
      </c>
      <c r="Q1384" s="210">
        <v>10</v>
      </c>
      <c r="R1384" s="205" t="s">
        <v>163</v>
      </c>
      <c r="S1384" s="206"/>
      <c r="T1384" s="211"/>
      <c r="U1384" s="211"/>
      <c r="V1384" s="213"/>
      <c r="W1384" s="213"/>
    </row>
    <row r="1385" spans="1:23" ht="15" customHeight="1">
      <c r="C1385" s="3">
        <v>10</v>
      </c>
      <c r="D1385" s="15" t="s">
        <v>1040</v>
      </c>
      <c r="E1385" s="312" t="s">
        <v>95</v>
      </c>
      <c r="G1385" s="26">
        <v>0</v>
      </c>
      <c r="H1385" s="26">
        <v>0</v>
      </c>
      <c r="I1385" s="26">
        <v>0</v>
      </c>
      <c r="J1385" s="26">
        <v>0</v>
      </c>
      <c r="K1385" s="26">
        <v>0</v>
      </c>
      <c r="L1385" s="26">
        <v>0</v>
      </c>
      <c r="M1385" s="26">
        <v>0</v>
      </c>
      <c r="N1385" s="26">
        <v>0</v>
      </c>
      <c r="P1385" s="202">
        <v>1369</v>
      </c>
      <c r="Q1385" s="210">
        <v>10</v>
      </c>
      <c r="R1385" s="205" t="s">
        <v>2627</v>
      </c>
      <c r="S1385" s="206"/>
      <c r="T1385" s="211"/>
      <c r="U1385" s="211"/>
      <c r="V1385" s="213"/>
      <c r="W1385" s="213"/>
    </row>
    <row r="1386" spans="1:23" ht="15" customHeight="1">
      <c r="C1386" s="3">
        <v>10</v>
      </c>
      <c r="D1386" s="15" t="s">
        <v>1041</v>
      </c>
      <c r="E1386" s="312" t="s">
        <v>97</v>
      </c>
      <c r="G1386" s="26">
        <v>1206</v>
      </c>
      <c r="H1386" s="26">
        <v>0</v>
      </c>
      <c r="I1386" s="26">
        <v>0</v>
      </c>
      <c r="J1386" s="26">
        <v>0</v>
      </c>
      <c r="K1386" s="26">
        <v>0</v>
      </c>
      <c r="L1386" s="26">
        <v>0</v>
      </c>
      <c r="M1386" s="26">
        <v>0</v>
      </c>
      <c r="N1386" s="26">
        <v>204</v>
      </c>
      <c r="P1386" s="202">
        <v>1370</v>
      </c>
      <c r="Q1386" s="210">
        <v>10</v>
      </c>
      <c r="R1386" s="205" t="s">
        <v>1116</v>
      </c>
      <c r="S1386" s="206" t="s">
        <v>329</v>
      </c>
      <c r="T1386" s="211">
        <v>0</v>
      </c>
      <c r="U1386" s="211">
        <v>0</v>
      </c>
      <c r="V1386" s="213">
        <v>0</v>
      </c>
      <c r="W1386" s="213">
        <v>0</v>
      </c>
    </row>
    <row r="1387" spans="1:23" ht="15" customHeight="1">
      <c r="C1387" s="3">
        <v>10</v>
      </c>
      <c r="D1387" s="15" t="s">
        <v>1042</v>
      </c>
      <c r="E1387" s="312" t="s">
        <v>99</v>
      </c>
      <c r="G1387" s="26">
        <v>59</v>
      </c>
      <c r="H1387" s="26">
        <v>59</v>
      </c>
      <c r="I1387" s="26">
        <v>59</v>
      </c>
      <c r="J1387" s="26">
        <v>59</v>
      </c>
      <c r="K1387" s="26">
        <v>59</v>
      </c>
      <c r="L1387" s="26">
        <v>57</v>
      </c>
      <c r="M1387" s="26">
        <f>57*1.33</f>
        <v>75.81</v>
      </c>
      <c r="N1387" s="26">
        <v>76</v>
      </c>
      <c r="P1387" s="202">
        <v>1371</v>
      </c>
      <c r="Q1387" s="210">
        <v>10</v>
      </c>
      <c r="R1387" s="205" t="s">
        <v>1117</v>
      </c>
      <c r="S1387" s="206" t="s">
        <v>165</v>
      </c>
      <c r="T1387" s="211">
        <v>0</v>
      </c>
      <c r="U1387" s="211">
        <v>0</v>
      </c>
      <c r="V1387" s="213">
        <v>0</v>
      </c>
      <c r="W1387" s="213">
        <v>0</v>
      </c>
    </row>
    <row r="1388" spans="1:23" ht="15" customHeight="1">
      <c r="C1388" s="3">
        <v>10</v>
      </c>
      <c r="D1388" s="15" t="s">
        <v>1043</v>
      </c>
      <c r="E1388" s="312" t="s">
        <v>101</v>
      </c>
      <c r="G1388" s="26">
        <v>0</v>
      </c>
      <c r="H1388" s="26">
        <v>0</v>
      </c>
      <c r="I1388" s="26">
        <v>0</v>
      </c>
      <c r="J1388" s="26">
        <v>0</v>
      </c>
      <c r="K1388" s="26">
        <v>0</v>
      </c>
      <c r="L1388" s="26">
        <v>0</v>
      </c>
      <c r="M1388" s="26">
        <v>0</v>
      </c>
      <c r="N1388" s="26">
        <v>0</v>
      </c>
      <c r="P1388" s="202">
        <v>1372</v>
      </c>
      <c r="Q1388" s="210">
        <v>10</v>
      </c>
      <c r="R1388" s="205" t="s">
        <v>1118</v>
      </c>
      <c r="S1388" s="206" t="s">
        <v>167</v>
      </c>
      <c r="T1388" s="211">
        <v>0</v>
      </c>
      <c r="U1388" s="211">
        <v>0</v>
      </c>
      <c r="V1388" s="213">
        <v>0</v>
      </c>
      <c r="W1388" s="213">
        <v>0</v>
      </c>
    </row>
    <row r="1389" spans="1:23" ht="15" customHeight="1">
      <c r="C1389" s="3">
        <v>10</v>
      </c>
      <c r="D1389" s="15" t="s">
        <v>1044</v>
      </c>
      <c r="E1389" s="312" t="s">
        <v>103</v>
      </c>
      <c r="G1389" s="26">
        <v>0</v>
      </c>
      <c r="H1389" s="26">
        <v>0</v>
      </c>
      <c r="I1389" s="26">
        <v>0</v>
      </c>
      <c r="J1389" s="26">
        <v>0</v>
      </c>
      <c r="K1389" s="26">
        <v>0</v>
      </c>
      <c r="L1389" s="26">
        <v>0</v>
      </c>
      <c r="M1389" s="26">
        <v>0</v>
      </c>
      <c r="N1389" s="26">
        <v>0</v>
      </c>
      <c r="P1389" s="202">
        <v>1373</v>
      </c>
      <c r="Q1389" s="210">
        <v>10</v>
      </c>
      <c r="R1389" s="205" t="s">
        <v>1119</v>
      </c>
      <c r="S1389" s="206" t="s">
        <v>169</v>
      </c>
      <c r="T1389" s="211">
        <v>5400</v>
      </c>
      <c r="U1389" s="211">
        <v>33.78</v>
      </c>
      <c r="V1389" s="213">
        <v>327.04000000000002</v>
      </c>
      <c r="W1389" s="213">
        <v>6.06</v>
      </c>
    </row>
    <row r="1390" spans="1:23" ht="15" customHeight="1">
      <c r="G1390" s="26"/>
      <c r="H1390" s="26"/>
      <c r="I1390" s="26"/>
      <c r="J1390" s="26"/>
      <c r="K1390" s="26"/>
      <c r="L1390" s="26"/>
      <c r="M1390" s="26"/>
      <c r="N1390" s="26"/>
      <c r="P1390" s="202">
        <v>1374</v>
      </c>
      <c r="Q1390" s="210">
        <v>10</v>
      </c>
      <c r="R1390" s="205" t="s">
        <v>1120</v>
      </c>
      <c r="S1390" s="206" t="s">
        <v>175</v>
      </c>
      <c r="T1390" s="211">
        <v>0</v>
      </c>
      <c r="U1390" s="211">
        <v>0</v>
      </c>
      <c r="V1390" s="213">
        <v>0</v>
      </c>
      <c r="W1390" s="213">
        <v>0</v>
      </c>
    </row>
    <row r="1391" spans="1:23" s="72" customFormat="1" ht="15" customHeight="1">
      <c r="A1391" s="5" t="s">
        <v>2410</v>
      </c>
      <c r="B1391" s="5" t="s">
        <v>2317</v>
      </c>
      <c r="C1391" s="3"/>
      <c r="D1391" s="323" t="s">
        <v>2146</v>
      </c>
      <c r="E1391" s="323"/>
      <c r="F1391" s="324"/>
      <c r="G1391" s="325">
        <f>SUM(G1375:G1390)</f>
        <v>49891</v>
      </c>
      <c r="H1391" s="325">
        <f t="shared" ref="H1391:N1391" si="112">SUM(H1375:H1390)</f>
        <v>40880</v>
      </c>
      <c r="I1391" s="325">
        <f t="shared" si="112"/>
        <v>40087</v>
      </c>
      <c r="J1391" s="325">
        <f t="shared" si="112"/>
        <v>43598</v>
      </c>
      <c r="K1391" s="325">
        <f t="shared" si="112"/>
        <v>43488</v>
      </c>
      <c r="L1391" s="325">
        <f t="shared" si="112"/>
        <v>26047</v>
      </c>
      <c r="M1391" s="325">
        <f t="shared" si="112"/>
        <v>44414.020000000004</v>
      </c>
      <c r="N1391" s="325">
        <f t="shared" si="112"/>
        <v>45705</v>
      </c>
      <c r="O1391" s="286"/>
      <c r="P1391" s="202">
        <v>1375</v>
      </c>
      <c r="Q1391" s="210">
        <v>10</v>
      </c>
      <c r="R1391" s="205" t="s">
        <v>1121</v>
      </c>
      <c r="S1391" s="206" t="s">
        <v>244</v>
      </c>
      <c r="T1391" s="211">
        <v>0</v>
      </c>
      <c r="U1391" s="211">
        <v>0</v>
      </c>
      <c r="V1391" s="213">
        <v>0</v>
      </c>
      <c r="W1391" s="213">
        <v>0</v>
      </c>
    </row>
    <row r="1392" spans="1:23" s="46" customFormat="1" ht="15" customHeight="1">
      <c r="A1392" s="2"/>
      <c r="B1392" s="2"/>
      <c r="C1392" s="3"/>
      <c r="D1392" s="47"/>
      <c r="E1392" s="47"/>
      <c r="F1392" s="191"/>
      <c r="G1392" s="48"/>
      <c r="H1392" s="48"/>
      <c r="I1392" s="48"/>
      <c r="J1392" s="48"/>
      <c r="K1392" s="48"/>
      <c r="L1392" s="48"/>
      <c r="M1392" s="48"/>
      <c r="N1392" s="48"/>
      <c r="O1392" s="289"/>
      <c r="P1392" s="202">
        <v>1376</v>
      </c>
      <c r="Q1392" s="210">
        <v>10</v>
      </c>
      <c r="R1392" s="205" t="s">
        <v>2623</v>
      </c>
      <c r="S1392" s="206"/>
      <c r="T1392" s="211"/>
      <c r="U1392" s="211"/>
      <c r="V1392" s="213"/>
      <c r="W1392" s="213"/>
    </row>
    <row r="1393" spans="1:23" ht="15" customHeight="1">
      <c r="D1393" s="47" t="s">
        <v>2147</v>
      </c>
      <c r="G1393" s="26"/>
      <c r="H1393" s="26"/>
      <c r="I1393" s="26"/>
      <c r="J1393" s="26"/>
      <c r="K1393" s="26"/>
      <c r="L1393" s="26"/>
      <c r="M1393" s="26"/>
      <c r="N1393" s="26"/>
      <c r="P1393" s="202">
        <v>1377</v>
      </c>
      <c r="Q1393" s="210">
        <v>10</v>
      </c>
      <c r="R1393" s="205" t="s">
        <v>163</v>
      </c>
      <c r="S1393" s="206"/>
      <c r="T1393" s="211">
        <v>5400</v>
      </c>
      <c r="U1393" s="211">
        <v>33.78</v>
      </c>
      <c r="V1393" s="213">
        <v>327.04000000000002</v>
      </c>
      <c r="W1393" s="213">
        <v>0</v>
      </c>
    </row>
    <row r="1394" spans="1:23" ht="15" customHeight="1">
      <c r="G1394" s="26"/>
      <c r="H1394" s="26"/>
      <c r="I1394" s="26"/>
      <c r="J1394" s="26"/>
      <c r="K1394" s="26"/>
      <c r="L1394" s="26"/>
      <c r="M1394" s="26"/>
      <c r="N1394" s="26"/>
      <c r="P1394" s="202">
        <v>1378</v>
      </c>
      <c r="Q1394" s="210">
        <v>10</v>
      </c>
      <c r="R1394" s="205" t="s">
        <v>245</v>
      </c>
      <c r="S1394" s="206"/>
      <c r="T1394" s="211"/>
      <c r="U1394" s="211"/>
      <c r="V1394" s="213"/>
      <c r="W1394" s="213"/>
    </row>
    <row r="1395" spans="1:23" ht="15" customHeight="1">
      <c r="C1395" s="3">
        <v>10</v>
      </c>
      <c r="D1395" s="15" t="s">
        <v>1045</v>
      </c>
      <c r="E1395" s="312" t="s">
        <v>115</v>
      </c>
      <c r="G1395" s="26">
        <v>0</v>
      </c>
      <c r="H1395" s="26">
        <v>401</v>
      </c>
      <c r="I1395" s="26">
        <v>512</v>
      </c>
      <c r="J1395" s="26">
        <v>437</v>
      </c>
      <c r="K1395" s="26">
        <v>700</v>
      </c>
      <c r="L1395" s="26">
        <v>435</v>
      </c>
      <c r="M1395" s="26">
        <v>700</v>
      </c>
      <c r="N1395" s="26">
        <v>700</v>
      </c>
      <c r="O1395" s="285"/>
      <c r="P1395" s="202">
        <v>1379</v>
      </c>
      <c r="Q1395" s="210">
        <v>10</v>
      </c>
      <c r="R1395" s="205" t="s">
        <v>2628</v>
      </c>
      <c r="S1395" s="206"/>
      <c r="T1395" s="211"/>
      <c r="U1395" s="211"/>
      <c r="V1395" s="213"/>
      <c r="W1395" s="213"/>
    </row>
    <row r="1396" spans="1:23" ht="15" customHeight="1">
      <c r="C1396" s="3">
        <v>10</v>
      </c>
      <c r="D1396" s="15" t="s">
        <v>1046</v>
      </c>
      <c r="E1396" s="312" t="s">
        <v>117</v>
      </c>
      <c r="G1396" s="26">
        <v>0</v>
      </c>
      <c r="H1396" s="26">
        <v>0</v>
      </c>
      <c r="I1396" s="26">
        <v>0</v>
      </c>
      <c r="J1396" s="26">
        <v>0</v>
      </c>
      <c r="K1396" s="26">
        <v>0</v>
      </c>
      <c r="L1396" s="26">
        <v>0</v>
      </c>
      <c r="M1396" s="26">
        <v>0</v>
      </c>
      <c r="N1396" s="26">
        <v>0</v>
      </c>
      <c r="O1396" s="285"/>
      <c r="P1396" s="202">
        <v>1380</v>
      </c>
      <c r="Q1396" s="210">
        <v>10</v>
      </c>
      <c r="R1396" s="205" t="s">
        <v>1122</v>
      </c>
      <c r="S1396" s="206" t="s">
        <v>329</v>
      </c>
      <c r="T1396" s="211">
        <v>0</v>
      </c>
      <c r="U1396" s="211">
        <v>0</v>
      </c>
      <c r="V1396" s="213">
        <v>0</v>
      </c>
      <c r="W1396" s="213">
        <v>0</v>
      </c>
    </row>
    <row r="1397" spans="1:23" ht="15" customHeight="1">
      <c r="C1397" s="3">
        <v>10</v>
      </c>
      <c r="D1397" s="15" t="s">
        <v>1047</v>
      </c>
      <c r="E1397" s="312" t="s">
        <v>119</v>
      </c>
      <c r="G1397" s="26">
        <v>348</v>
      </c>
      <c r="H1397" s="26">
        <v>204</v>
      </c>
      <c r="I1397" s="26">
        <v>632</v>
      </c>
      <c r="J1397" s="26">
        <v>616</v>
      </c>
      <c r="K1397" s="26">
        <v>1000</v>
      </c>
      <c r="L1397" s="26">
        <v>674</v>
      </c>
      <c r="M1397" s="26">
        <v>1250</v>
      </c>
      <c r="N1397" s="26">
        <v>1500</v>
      </c>
      <c r="O1397" s="285"/>
      <c r="P1397" s="202">
        <v>1381</v>
      </c>
      <c r="Q1397" s="210">
        <v>10</v>
      </c>
      <c r="R1397" s="205" t="s">
        <v>1123</v>
      </c>
      <c r="S1397" s="206" t="s">
        <v>165</v>
      </c>
      <c r="T1397" s="211">
        <v>0</v>
      </c>
      <c r="U1397" s="211">
        <v>0</v>
      </c>
      <c r="V1397" s="213">
        <v>0</v>
      </c>
      <c r="W1397" s="213">
        <v>0</v>
      </c>
    </row>
    <row r="1398" spans="1:23" ht="15" customHeight="1">
      <c r="C1398" s="3">
        <v>10</v>
      </c>
      <c r="D1398" s="15" t="s">
        <v>1048</v>
      </c>
      <c r="E1398" s="312" t="s">
        <v>121</v>
      </c>
      <c r="G1398" s="26">
        <v>415</v>
      </c>
      <c r="H1398" s="26">
        <v>27</v>
      </c>
      <c r="I1398" s="26">
        <v>553</v>
      </c>
      <c r="J1398" s="26">
        <v>562</v>
      </c>
      <c r="K1398" s="26">
        <v>100</v>
      </c>
      <c r="L1398" s="26">
        <v>0</v>
      </c>
      <c r="M1398" s="26">
        <v>100</v>
      </c>
      <c r="N1398" s="26">
        <v>100</v>
      </c>
      <c r="O1398" s="285"/>
      <c r="P1398" s="202">
        <v>1382</v>
      </c>
      <c r="Q1398" s="210">
        <v>10</v>
      </c>
      <c r="R1398" s="205" t="s">
        <v>1124</v>
      </c>
      <c r="S1398" s="206" t="s">
        <v>167</v>
      </c>
      <c r="T1398" s="211">
        <v>0</v>
      </c>
      <c r="U1398" s="211">
        <v>0</v>
      </c>
      <c r="V1398" s="213">
        <v>0</v>
      </c>
      <c r="W1398" s="213">
        <v>0</v>
      </c>
    </row>
    <row r="1399" spans="1:23" ht="15" customHeight="1">
      <c r="C1399" s="3">
        <v>10</v>
      </c>
      <c r="D1399" s="15" t="s">
        <v>1049</v>
      </c>
      <c r="E1399" s="312" t="s">
        <v>123</v>
      </c>
      <c r="G1399" s="26">
        <v>0</v>
      </c>
      <c r="H1399" s="26">
        <v>102</v>
      </c>
      <c r="I1399" s="26">
        <v>68</v>
      </c>
      <c r="J1399" s="26">
        <v>0</v>
      </c>
      <c r="K1399" s="26">
        <v>100</v>
      </c>
      <c r="L1399" s="26">
        <v>0</v>
      </c>
      <c r="M1399" s="26">
        <v>0</v>
      </c>
      <c r="N1399" s="26">
        <v>0</v>
      </c>
      <c r="O1399" s="285"/>
      <c r="P1399" s="202">
        <v>1383</v>
      </c>
      <c r="Q1399" s="210">
        <v>10</v>
      </c>
      <c r="R1399" s="205" t="s">
        <v>1125</v>
      </c>
      <c r="S1399" s="206" t="s">
        <v>247</v>
      </c>
      <c r="T1399" s="211">
        <v>0</v>
      </c>
      <c r="U1399" s="211">
        <v>0</v>
      </c>
      <c r="V1399" s="213">
        <v>0</v>
      </c>
      <c r="W1399" s="213">
        <v>0</v>
      </c>
    </row>
    <row r="1400" spans="1:23" ht="15" customHeight="1">
      <c r="C1400" s="3">
        <v>10</v>
      </c>
      <c r="D1400" s="15" t="s">
        <v>1050</v>
      </c>
      <c r="E1400" s="312" t="s">
        <v>125</v>
      </c>
      <c r="G1400" s="26">
        <v>861</v>
      </c>
      <c r="H1400" s="26">
        <v>0</v>
      </c>
      <c r="I1400" s="26">
        <v>0</v>
      </c>
      <c r="J1400" s="26">
        <v>0</v>
      </c>
      <c r="K1400" s="26">
        <v>0</v>
      </c>
      <c r="L1400" s="26">
        <v>0</v>
      </c>
      <c r="M1400" s="26">
        <v>0</v>
      </c>
      <c r="N1400" s="26">
        <v>0</v>
      </c>
      <c r="O1400" s="285"/>
      <c r="P1400" s="202">
        <v>1384</v>
      </c>
      <c r="Q1400" s="210">
        <v>10</v>
      </c>
      <c r="R1400" s="205" t="s">
        <v>1126</v>
      </c>
      <c r="S1400" s="206" t="s">
        <v>244</v>
      </c>
      <c r="T1400" s="211">
        <v>0</v>
      </c>
      <c r="U1400" s="211">
        <v>0</v>
      </c>
      <c r="V1400" s="213">
        <v>0</v>
      </c>
      <c r="W1400" s="213">
        <v>0</v>
      </c>
    </row>
    <row r="1401" spans="1:23" ht="15" customHeight="1">
      <c r="C1401" s="3">
        <v>10</v>
      </c>
      <c r="D1401" s="15" t="s">
        <v>1051</v>
      </c>
      <c r="E1401" s="312" t="s">
        <v>106</v>
      </c>
      <c r="G1401" s="26">
        <v>0</v>
      </c>
      <c r="H1401" s="26">
        <v>0</v>
      </c>
      <c r="I1401" s="26">
        <v>0</v>
      </c>
      <c r="J1401" s="26">
        <v>0</v>
      </c>
      <c r="K1401" s="26">
        <v>0</v>
      </c>
      <c r="L1401" s="26">
        <v>0</v>
      </c>
      <c r="M1401" s="26">
        <v>0</v>
      </c>
      <c r="N1401" s="26">
        <v>0</v>
      </c>
      <c r="O1401" s="285"/>
      <c r="P1401" s="202">
        <v>1385</v>
      </c>
      <c r="Q1401" s="210">
        <v>10</v>
      </c>
      <c r="R1401" s="205" t="s">
        <v>2623</v>
      </c>
      <c r="S1401" s="206"/>
      <c r="T1401" s="211"/>
      <c r="U1401" s="211"/>
      <c r="V1401" s="213"/>
      <c r="W1401" s="213"/>
    </row>
    <row r="1402" spans="1:23" ht="15" customHeight="1">
      <c r="C1402" s="3">
        <v>10</v>
      </c>
      <c r="D1402" s="15" t="s">
        <v>1052</v>
      </c>
      <c r="E1402" s="312" t="s">
        <v>200</v>
      </c>
      <c r="G1402" s="26">
        <v>0</v>
      </c>
      <c r="H1402" s="26">
        <v>67</v>
      </c>
      <c r="I1402" s="26">
        <v>50</v>
      </c>
      <c r="J1402" s="26">
        <v>0</v>
      </c>
      <c r="K1402" s="26">
        <v>0</v>
      </c>
      <c r="L1402" s="26">
        <v>0</v>
      </c>
      <c r="M1402" s="26">
        <v>0</v>
      </c>
      <c r="N1402" s="26">
        <v>0</v>
      </c>
      <c r="O1402" s="285"/>
      <c r="P1402" s="202">
        <v>1386</v>
      </c>
      <c r="Q1402" s="210">
        <v>10</v>
      </c>
      <c r="R1402" s="205" t="s">
        <v>245</v>
      </c>
      <c r="S1402" s="206"/>
      <c r="T1402" s="211">
        <v>0</v>
      </c>
      <c r="U1402" s="211">
        <v>0</v>
      </c>
      <c r="V1402" s="213">
        <v>0</v>
      </c>
      <c r="W1402" s="213">
        <v>0</v>
      </c>
    </row>
    <row r="1403" spans="1:23" ht="15" customHeight="1">
      <c r="C1403" s="3">
        <v>10</v>
      </c>
      <c r="D1403" s="15" t="s">
        <v>1053</v>
      </c>
      <c r="E1403" s="312" t="s">
        <v>202</v>
      </c>
      <c r="G1403" s="26">
        <v>0</v>
      </c>
      <c r="H1403" s="26">
        <v>0</v>
      </c>
      <c r="I1403" s="26">
        <v>0</v>
      </c>
      <c r="J1403" s="26">
        <v>0</v>
      </c>
      <c r="K1403" s="26">
        <v>0</v>
      </c>
      <c r="L1403" s="26">
        <v>0</v>
      </c>
      <c r="M1403" s="26">
        <v>0</v>
      </c>
      <c r="N1403" s="26">
        <v>0</v>
      </c>
      <c r="O1403" s="285"/>
      <c r="P1403" s="202">
        <v>1387</v>
      </c>
      <c r="Q1403" s="210">
        <v>10</v>
      </c>
      <c r="R1403" s="205" t="s">
        <v>2623</v>
      </c>
      <c r="S1403" s="206"/>
      <c r="T1403" s="211"/>
      <c r="U1403" s="211"/>
      <c r="V1403" s="213"/>
      <c r="W1403" s="213"/>
    </row>
    <row r="1404" spans="1:23" ht="15" customHeight="1">
      <c r="C1404" s="3">
        <v>10</v>
      </c>
      <c r="D1404" s="15" t="s">
        <v>1054</v>
      </c>
      <c r="E1404" s="312" t="s">
        <v>132</v>
      </c>
      <c r="G1404" s="26">
        <v>0</v>
      </c>
      <c r="H1404" s="26">
        <v>0</v>
      </c>
      <c r="I1404" s="26">
        <v>23</v>
      </c>
      <c r="J1404" s="26">
        <v>24</v>
      </c>
      <c r="K1404" s="26">
        <v>0</v>
      </c>
      <c r="L1404" s="26">
        <v>0</v>
      </c>
      <c r="M1404" s="26">
        <v>0</v>
      </c>
      <c r="N1404" s="26">
        <v>0</v>
      </c>
      <c r="O1404" s="285"/>
      <c r="P1404" s="202">
        <v>1388</v>
      </c>
      <c r="Q1404" s="210">
        <v>10</v>
      </c>
      <c r="R1404" s="205" t="s">
        <v>15</v>
      </c>
      <c r="S1404" s="206"/>
      <c r="T1404" s="211">
        <v>119499</v>
      </c>
      <c r="U1404" s="211">
        <v>7801.74</v>
      </c>
      <c r="V1404" s="213">
        <v>85588.82</v>
      </c>
      <c r="W1404" s="213">
        <v>71.62</v>
      </c>
    </row>
    <row r="1405" spans="1:23" ht="15" customHeight="1">
      <c r="C1405" s="3">
        <v>10</v>
      </c>
      <c r="D1405" s="15" t="s">
        <v>1055</v>
      </c>
      <c r="E1405" s="312" t="s">
        <v>206</v>
      </c>
      <c r="G1405" s="26">
        <v>0</v>
      </c>
      <c r="H1405" s="26">
        <v>98</v>
      </c>
      <c r="I1405" s="26">
        <v>137</v>
      </c>
      <c r="J1405" s="26">
        <v>96</v>
      </c>
      <c r="K1405" s="26">
        <v>0</v>
      </c>
      <c r="L1405" s="26">
        <v>55</v>
      </c>
      <c r="M1405" s="26">
        <v>80</v>
      </c>
      <c r="N1405" s="26">
        <v>0</v>
      </c>
      <c r="O1405" s="285" t="s">
        <v>2850</v>
      </c>
      <c r="P1405" s="202">
        <v>1389</v>
      </c>
      <c r="Q1405" s="210">
        <v>10</v>
      </c>
      <c r="R1405" s="205" t="s">
        <v>2621</v>
      </c>
      <c r="S1405" s="206"/>
      <c r="T1405" s="211"/>
      <c r="U1405" s="211"/>
      <c r="V1405" s="213"/>
      <c r="W1405" s="213"/>
    </row>
    <row r="1406" spans="1:23" ht="15" customHeight="1">
      <c r="C1406" s="3">
        <v>10</v>
      </c>
      <c r="D1406" s="15" t="s">
        <v>1056</v>
      </c>
      <c r="E1406" s="312" t="s">
        <v>134</v>
      </c>
      <c r="G1406" s="26">
        <v>0</v>
      </c>
      <c r="H1406" s="26">
        <v>0</v>
      </c>
      <c r="I1406" s="26">
        <v>0</v>
      </c>
      <c r="J1406" s="26">
        <v>0</v>
      </c>
      <c r="K1406" s="26">
        <v>0</v>
      </c>
      <c r="L1406" s="26">
        <v>0</v>
      </c>
      <c r="M1406" s="26"/>
      <c r="N1406" s="26"/>
      <c r="O1406" s="285"/>
      <c r="P1406" s="202">
        <v>1390</v>
      </c>
      <c r="Q1406" s="210">
        <v>10</v>
      </c>
      <c r="R1406" s="205" t="s">
        <v>2622</v>
      </c>
      <c r="S1406" s="206"/>
      <c r="T1406" s="211"/>
      <c r="U1406" s="211"/>
      <c r="V1406" s="213"/>
      <c r="W1406" s="213"/>
    </row>
    <row r="1407" spans="1:23" ht="15" customHeight="1">
      <c r="G1407" s="26"/>
      <c r="H1407" s="26"/>
      <c r="I1407" s="26"/>
      <c r="J1407" s="26"/>
      <c r="K1407" s="26"/>
      <c r="L1407" s="26"/>
      <c r="M1407" s="26"/>
      <c r="N1407" s="26"/>
      <c r="O1407" s="293"/>
      <c r="P1407" s="202">
        <v>1391</v>
      </c>
      <c r="Q1407" s="210">
        <v>10</v>
      </c>
      <c r="R1407" s="205" t="s">
        <v>1127</v>
      </c>
      <c r="S1407" s="206" t="s">
        <v>79</v>
      </c>
      <c r="T1407" s="211">
        <v>108404</v>
      </c>
      <c r="U1407" s="211">
        <v>8444</v>
      </c>
      <c r="V1407" s="213">
        <v>67484.160000000003</v>
      </c>
      <c r="W1407" s="213">
        <v>62.25</v>
      </c>
    </row>
    <row r="1408" spans="1:23" s="200" customFormat="1" ht="15" customHeight="1">
      <c r="A1408" s="196" t="s">
        <v>104</v>
      </c>
      <c r="B1408" s="196" t="s">
        <v>2317</v>
      </c>
      <c r="C1408" s="75"/>
      <c r="D1408" s="323" t="s">
        <v>2148</v>
      </c>
      <c r="E1408" s="323"/>
      <c r="F1408" s="324"/>
      <c r="G1408" s="325">
        <f>SUM(G1393:G1407)</f>
        <v>1624</v>
      </c>
      <c r="H1408" s="325">
        <f t="shared" ref="H1408:N1408" si="113">SUM(H1393:H1407)</f>
        <v>899</v>
      </c>
      <c r="I1408" s="325">
        <f t="shared" si="113"/>
        <v>1975</v>
      </c>
      <c r="J1408" s="325">
        <f t="shared" si="113"/>
        <v>1735</v>
      </c>
      <c r="K1408" s="325">
        <f t="shared" si="113"/>
        <v>1900</v>
      </c>
      <c r="L1408" s="325">
        <f t="shared" si="113"/>
        <v>1164</v>
      </c>
      <c r="M1408" s="325">
        <f t="shared" si="113"/>
        <v>2130</v>
      </c>
      <c r="N1408" s="325">
        <f t="shared" si="113"/>
        <v>2300</v>
      </c>
      <c r="O1408" s="287"/>
      <c r="P1408" s="202">
        <v>1392</v>
      </c>
      <c r="Q1408" s="210">
        <v>10</v>
      </c>
      <c r="R1408" s="205" t="s">
        <v>1128</v>
      </c>
      <c r="S1408" s="206" t="s">
        <v>81</v>
      </c>
      <c r="T1408" s="211">
        <v>13318</v>
      </c>
      <c r="U1408" s="211">
        <v>1148.81</v>
      </c>
      <c r="V1408" s="213">
        <v>9222.25</v>
      </c>
      <c r="W1408" s="213">
        <v>69.25</v>
      </c>
    </row>
    <row r="1409" spans="1:23" s="46" customFormat="1" ht="15" customHeight="1">
      <c r="A1409" s="2"/>
      <c r="B1409" s="2"/>
      <c r="C1409" s="3"/>
      <c r="D1409" s="47"/>
      <c r="E1409" s="47"/>
      <c r="F1409" s="191"/>
      <c r="G1409" s="48"/>
      <c r="H1409" s="48"/>
      <c r="I1409" s="48"/>
      <c r="J1409" s="48"/>
      <c r="K1409" s="48"/>
      <c r="L1409" s="48"/>
      <c r="M1409" s="48"/>
      <c r="N1409" s="48"/>
      <c r="O1409" s="289"/>
      <c r="P1409" s="202">
        <v>1393</v>
      </c>
      <c r="Q1409" s="210">
        <v>10</v>
      </c>
      <c r="R1409" s="205" t="s">
        <v>1129</v>
      </c>
      <c r="S1409" s="206" t="s">
        <v>83</v>
      </c>
      <c r="T1409" s="211">
        <v>0</v>
      </c>
      <c r="U1409" s="211">
        <v>0</v>
      </c>
      <c r="V1409" s="213">
        <v>0</v>
      </c>
      <c r="W1409" s="213">
        <v>0</v>
      </c>
    </row>
    <row r="1410" spans="1:23" ht="15" customHeight="1">
      <c r="D1410" s="47" t="s">
        <v>2149</v>
      </c>
      <c r="G1410" s="26"/>
      <c r="H1410" s="26"/>
      <c r="I1410" s="26"/>
      <c r="J1410" s="26"/>
      <c r="K1410" s="26"/>
      <c r="L1410" s="26"/>
      <c r="M1410" s="26"/>
      <c r="N1410" s="26"/>
      <c r="P1410" s="202">
        <v>1394</v>
      </c>
      <c r="Q1410" s="210">
        <v>10</v>
      </c>
      <c r="R1410" s="205" t="s">
        <v>1130</v>
      </c>
      <c r="S1410" s="206" t="s">
        <v>85</v>
      </c>
      <c r="T1410" s="211">
        <v>514</v>
      </c>
      <c r="U1410" s="211">
        <v>0</v>
      </c>
      <c r="V1410" s="213">
        <v>522</v>
      </c>
      <c r="W1410" s="213">
        <v>101.56</v>
      </c>
    </row>
    <row r="1411" spans="1:23" ht="15" customHeight="1">
      <c r="G1411" s="26"/>
      <c r="H1411" s="26"/>
      <c r="I1411" s="26"/>
      <c r="J1411" s="26"/>
      <c r="K1411" s="26"/>
      <c r="L1411" s="26"/>
      <c r="M1411" s="26"/>
      <c r="N1411" s="26"/>
      <c r="P1411" s="202">
        <v>1395</v>
      </c>
      <c r="Q1411" s="210">
        <v>10</v>
      </c>
      <c r="R1411" s="205" t="s">
        <v>1131</v>
      </c>
      <c r="S1411" s="206" t="s">
        <v>87</v>
      </c>
      <c r="T1411" s="211">
        <v>8314</v>
      </c>
      <c r="U1411" s="211">
        <v>640.23</v>
      </c>
      <c r="V1411" s="213">
        <v>5134.74</v>
      </c>
      <c r="W1411" s="213">
        <v>61.76</v>
      </c>
    </row>
    <row r="1412" spans="1:23" ht="15" customHeight="1">
      <c r="C1412" s="3">
        <v>10</v>
      </c>
      <c r="D1412" s="15" t="s">
        <v>1057</v>
      </c>
      <c r="E1412" s="312" t="s">
        <v>137</v>
      </c>
      <c r="G1412" s="26">
        <v>430</v>
      </c>
      <c r="H1412" s="26">
        <v>504</v>
      </c>
      <c r="I1412" s="26">
        <v>418</v>
      </c>
      <c r="J1412" s="26">
        <v>485</v>
      </c>
      <c r="K1412" s="26">
        <v>650</v>
      </c>
      <c r="L1412" s="26">
        <v>325</v>
      </c>
      <c r="M1412" s="26">
        <v>650</v>
      </c>
      <c r="N1412" s="26">
        <v>700</v>
      </c>
      <c r="O1412" s="285"/>
      <c r="P1412" s="202">
        <v>1396</v>
      </c>
      <c r="Q1412" s="210">
        <v>10</v>
      </c>
      <c r="R1412" s="205" t="s">
        <v>1132</v>
      </c>
      <c r="S1412" s="206" t="s">
        <v>89</v>
      </c>
      <c r="T1412" s="211">
        <v>17410</v>
      </c>
      <c r="U1412" s="211">
        <v>1464.71</v>
      </c>
      <c r="V1412" s="213">
        <v>11735.95</v>
      </c>
      <c r="W1412" s="213">
        <v>67.41</v>
      </c>
    </row>
    <row r="1413" spans="1:23" ht="15" customHeight="1">
      <c r="C1413" s="3">
        <v>10</v>
      </c>
      <c r="D1413" s="15" t="s">
        <v>1058</v>
      </c>
      <c r="E1413" s="312" t="s">
        <v>139</v>
      </c>
      <c r="G1413" s="26">
        <v>81</v>
      </c>
      <c r="H1413" s="26">
        <v>73</v>
      </c>
      <c r="I1413" s="26">
        <v>433</v>
      </c>
      <c r="J1413" s="26">
        <v>17</v>
      </c>
      <c r="K1413" s="26">
        <v>100</v>
      </c>
      <c r="L1413" s="26">
        <v>60</v>
      </c>
      <c r="M1413" s="26">
        <v>60</v>
      </c>
      <c r="N1413" s="26">
        <v>100</v>
      </c>
      <c r="O1413" s="285"/>
      <c r="P1413" s="202">
        <v>1397</v>
      </c>
      <c r="Q1413" s="210">
        <v>10</v>
      </c>
      <c r="R1413" s="205" t="s">
        <v>1133</v>
      </c>
      <c r="S1413" s="206" t="s">
        <v>91</v>
      </c>
      <c r="T1413" s="211">
        <v>0</v>
      </c>
      <c r="U1413" s="211">
        <v>0</v>
      </c>
      <c r="V1413" s="213">
        <v>125</v>
      </c>
      <c r="W1413" s="213">
        <v>0</v>
      </c>
    </row>
    <row r="1414" spans="1:23" ht="15" customHeight="1">
      <c r="C1414" s="3">
        <v>10</v>
      </c>
      <c r="D1414" s="15" t="s">
        <v>1059</v>
      </c>
      <c r="E1414" s="312" t="s">
        <v>654</v>
      </c>
      <c r="G1414" s="26">
        <v>0</v>
      </c>
      <c r="H1414" s="26">
        <v>0</v>
      </c>
      <c r="I1414" s="26">
        <v>0</v>
      </c>
      <c r="J1414" s="26">
        <v>0</v>
      </c>
      <c r="K1414" s="26">
        <v>0</v>
      </c>
      <c r="L1414" s="26">
        <v>0</v>
      </c>
      <c r="M1414" s="26">
        <v>0</v>
      </c>
      <c r="N1414" s="26">
        <v>0</v>
      </c>
      <c r="O1414" s="285"/>
      <c r="P1414" s="202">
        <v>1398</v>
      </c>
      <c r="Q1414" s="210">
        <v>10</v>
      </c>
      <c r="R1414" s="205" t="s">
        <v>1134</v>
      </c>
      <c r="S1414" s="206" t="s">
        <v>93</v>
      </c>
      <c r="T1414" s="211">
        <v>0</v>
      </c>
      <c r="U1414" s="211">
        <v>446.88</v>
      </c>
      <c r="V1414" s="213">
        <v>3029.57</v>
      </c>
      <c r="W1414" s="213">
        <v>0</v>
      </c>
    </row>
    <row r="1415" spans="1:23" ht="15" customHeight="1">
      <c r="C1415" s="3">
        <v>10</v>
      </c>
      <c r="D1415" s="15" t="s">
        <v>1060</v>
      </c>
      <c r="E1415" s="312" t="s">
        <v>141</v>
      </c>
      <c r="G1415" s="26">
        <v>0</v>
      </c>
      <c r="H1415" s="26">
        <v>0</v>
      </c>
      <c r="I1415" s="26">
        <v>0</v>
      </c>
      <c r="J1415" s="26">
        <v>0</v>
      </c>
      <c r="K1415" s="26">
        <v>0</v>
      </c>
      <c r="L1415" s="26">
        <v>0</v>
      </c>
      <c r="M1415" s="26">
        <v>0</v>
      </c>
      <c r="N1415" s="26">
        <v>0</v>
      </c>
      <c r="O1415" s="285"/>
      <c r="P1415" s="202">
        <v>1399</v>
      </c>
      <c r="Q1415" s="210">
        <v>10</v>
      </c>
      <c r="R1415" s="205" t="s">
        <v>1135</v>
      </c>
      <c r="S1415" s="206" t="s">
        <v>95</v>
      </c>
      <c r="T1415" s="211">
        <v>0</v>
      </c>
      <c r="U1415" s="211">
        <v>83.34</v>
      </c>
      <c r="V1415" s="213">
        <v>166.68</v>
      </c>
      <c r="W1415" s="213">
        <v>0</v>
      </c>
    </row>
    <row r="1416" spans="1:23" ht="15" customHeight="1">
      <c r="C1416" s="3">
        <v>10</v>
      </c>
      <c r="D1416" s="15" t="s">
        <v>1061</v>
      </c>
      <c r="E1416" s="312" t="s">
        <v>145</v>
      </c>
      <c r="G1416" s="26">
        <v>0</v>
      </c>
      <c r="H1416" s="26">
        <v>0</v>
      </c>
      <c r="I1416" s="26">
        <v>0</v>
      </c>
      <c r="J1416" s="26">
        <v>0</v>
      </c>
      <c r="K1416" s="26">
        <v>0</v>
      </c>
      <c r="L1416" s="26">
        <v>0</v>
      </c>
      <c r="M1416" s="26">
        <v>0</v>
      </c>
      <c r="N1416" s="26">
        <v>0</v>
      </c>
      <c r="O1416" s="285"/>
      <c r="P1416" s="202">
        <v>1400</v>
      </c>
      <c r="Q1416" s="210">
        <v>10</v>
      </c>
      <c r="R1416" s="205" t="s">
        <v>1136</v>
      </c>
      <c r="S1416" s="206" t="s">
        <v>97</v>
      </c>
      <c r="T1416" s="211">
        <v>1558</v>
      </c>
      <c r="U1416" s="211">
        <v>140</v>
      </c>
      <c r="V1416" s="213">
        <v>1114</v>
      </c>
      <c r="W1416" s="213">
        <v>71.5</v>
      </c>
    </row>
    <row r="1417" spans="1:23" ht="15" customHeight="1">
      <c r="C1417" s="3">
        <v>10</v>
      </c>
      <c r="D1417" s="15" t="s">
        <v>1062</v>
      </c>
      <c r="E1417" s="312" t="s">
        <v>147</v>
      </c>
      <c r="G1417" s="26">
        <v>0</v>
      </c>
      <c r="H1417" s="26">
        <v>0</v>
      </c>
      <c r="I1417" s="26">
        <v>0</v>
      </c>
      <c r="J1417" s="26">
        <v>0</v>
      </c>
      <c r="K1417" s="26">
        <v>0</v>
      </c>
      <c r="L1417" s="26">
        <v>0</v>
      </c>
      <c r="M1417" s="26">
        <v>0</v>
      </c>
      <c r="N1417" s="26">
        <v>0</v>
      </c>
      <c r="O1417" s="285"/>
      <c r="P1417" s="202">
        <v>1401</v>
      </c>
      <c r="Q1417" s="210">
        <v>10</v>
      </c>
      <c r="R1417" s="205" t="s">
        <v>1137</v>
      </c>
      <c r="S1417" s="206" t="s">
        <v>99</v>
      </c>
      <c r="T1417" s="211">
        <v>118</v>
      </c>
      <c r="U1417" s="211">
        <v>0</v>
      </c>
      <c r="V1417" s="213">
        <v>114.48</v>
      </c>
      <c r="W1417" s="213">
        <v>97.02</v>
      </c>
    </row>
    <row r="1418" spans="1:23" ht="15" customHeight="1">
      <c r="C1418" s="3">
        <v>10</v>
      </c>
      <c r="D1418" s="15" t="s">
        <v>1063</v>
      </c>
      <c r="E1418" s="312" t="s">
        <v>151</v>
      </c>
      <c r="G1418" s="26">
        <v>150</v>
      </c>
      <c r="H1418" s="26">
        <v>100</v>
      </c>
      <c r="I1418" s="26">
        <v>150</v>
      </c>
      <c r="J1418" s="26">
        <v>100</v>
      </c>
      <c r="K1418" s="26">
        <v>100</v>
      </c>
      <c r="L1418" s="26">
        <v>100</v>
      </c>
      <c r="M1418" s="26">
        <v>100</v>
      </c>
      <c r="N1418" s="26">
        <v>100</v>
      </c>
      <c r="O1418" s="285"/>
      <c r="P1418" s="202">
        <v>1402</v>
      </c>
      <c r="Q1418" s="210">
        <v>10</v>
      </c>
      <c r="R1418" s="205" t="s">
        <v>1138</v>
      </c>
      <c r="S1418" s="206" t="s">
        <v>101</v>
      </c>
      <c r="T1418" s="211">
        <v>0</v>
      </c>
      <c r="U1418" s="211">
        <v>0</v>
      </c>
      <c r="V1418" s="213">
        <v>0</v>
      </c>
      <c r="W1418" s="213">
        <v>0</v>
      </c>
    </row>
    <row r="1419" spans="1:23" ht="15" customHeight="1">
      <c r="C1419" s="3">
        <v>10</v>
      </c>
      <c r="D1419" s="15" t="s">
        <v>1064</v>
      </c>
      <c r="E1419" s="312" t="s">
        <v>153</v>
      </c>
      <c r="G1419" s="26">
        <v>59</v>
      </c>
      <c r="H1419" s="26">
        <v>969</v>
      </c>
      <c r="I1419" s="26">
        <v>964</v>
      </c>
      <c r="J1419" s="26">
        <v>558</v>
      </c>
      <c r="K1419" s="26">
        <v>1000</v>
      </c>
      <c r="L1419" s="26">
        <v>219</v>
      </c>
      <c r="M1419" s="26">
        <v>1000</v>
      </c>
      <c r="N1419" s="26">
        <v>1000</v>
      </c>
      <c r="O1419" s="285"/>
      <c r="P1419" s="202">
        <v>1403</v>
      </c>
      <c r="Q1419" s="210">
        <v>10</v>
      </c>
      <c r="R1419" s="205" t="s">
        <v>1139</v>
      </c>
      <c r="S1419" s="206" t="s">
        <v>103</v>
      </c>
      <c r="T1419" s="211">
        <v>0</v>
      </c>
      <c r="U1419" s="211">
        <v>0</v>
      </c>
      <c r="V1419" s="213">
        <v>0</v>
      </c>
      <c r="W1419" s="213">
        <v>0</v>
      </c>
    </row>
    <row r="1420" spans="1:23" ht="15" customHeight="1">
      <c r="C1420" s="3">
        <v>10</v>
      </c>
      <c r="D1420" s="15" t="s">
        <v>1065</v>
      </c>
      <c r="E1420" s="312" t="s">
        <v>157</v>
      </c>
      <c r="G1420" s="26">
        <v>0</v>
      </c>
      <c r="H1420" s="26">
        <v>0</v>
      </c>
      <c r="I1420" s="26">
        <v>0</v>
      </c>
      <c r="J1420" s="26">
        <v>0</v>
      </c>
      <c r="K1420" s="26">
        <v>0</v>
      </c>
      <c r="L1420" s="26">
        <v>0</v>
      </c>
      <c r="M1420" s="26">
        <v>0</v>
      </c>
      <c r="N1420" s="26">
        <v>0</v>
      </c>
      <c r="O1420" s="285"/>
      <c r="P1420" s="202">
        <v>1404</v>
      </c>
      <c r="Q1420" s="210">
        <v>10</v>
      </c>
      <c r="R1420" s="205" t="s">
        <v>2623</v>
      </c>
      <c r="S1420" s="206"/>
      <c r="T1420" s="211"/>
      <c r="U1420" s="211"/>
      <c r="V1420" s="213"/>
      <c r="W1420" s="213"/>
    </row>
    <row r="1421" spans="1:23" ht="15" customHeight="1">
      <c r="C1421" s="3">
        <v>10</v>
      </c>
      <c r="D1421" s="15" t="s">
        <v>1066</v>
      </c>
      <c r="E1421" s="312" t="s">
        <v>159</v>
      </c>
      <c r="G1421" s="26">
        <v>0</v>
      </c>
      <c r="H1421" s="26">
        <v>0</v>
      </c>
      <c r="I1421" s="26">
        <v>0</v>
      </c>
      <c r="J1421" s="26">
        <v>0</v>
      </c>
      <c r="K1421" s="26">
        <v>0</v>
      </c>
      <c r="L1421" s="26">
        <v>0</v>
      </c>
      <c r="M1421" s="26">
        <v>0</v>
      </c>
      <c r="N1421" s="26">
        <v>0</v>
      </c>
      <c r="O1421" s="285"/>
      <c r="P1421" s="202">
        <v>1405</v>
      </c>
      <c r="Q1421" s="210">
        <v>10</v>
      </c>
      <c r="R1421" s="205" t="s">
        <v>2621</v>
      </c>
      <c r="S1421" s="206"/>
      <c r="T1421" s="211">
        <v>149636</v>
      </c>
      <c r="U1421" s="211">
        <v>12367.97</v>
      </c>
      <c r="V1421" s="213">
        <v>98648.83</v>
      </c>
      <c r="W1421" s="213">
        <v>0</v>
      </c>
    </row>
    <row r="1422" spans="1:23" ht="15" customHeight="1">
      <c r="C1422" s="3">
        <v>10</v>
      </c>
      <c r="D1422" s="15" t="s">
        <v>1067</v>
      </c>
      <c r="E1422" s="312" t="s">
        <v>229</v>
      </c>
      <c r="G1422" s="26">
        <v>0</v>
      </c>
      <c r="H1422" s="26">
        <v>0</v>
      </c>
      <c r="I1422" s="26">
        <v>0</v>
      </c>
      <c r="J1422" s="26">
        <v>0</v>
      </c>
      <c r="K1422" s="26">
        <v>0</v>
      </c>
      <c r="L1422" s="26">
        <v>0</v>
      </c>
      <c r="M1422" s="26">
        <v>0</v>
      </c>
      <c r="N1422" s="26">
        <v>0</v>
      </c>
      <c r="O1422" s="285"/>
      <c r="P1422" s="202">
        <v>1406</v>
      </c>
      <c r="Q1422" s="210">
        <v>10</v>
      </c>
      <c r="R1422" s="205" t="s">
        <v>104</v>
      </c>
      <c r="S1422" s="206"/>
      <c r="T1422" s="211"/>
      <c r="U1422" s="211"/>
      <c r="V1422" s="213"/>
      <c r="W1422" s="213"/>
    </row>
    <row r="1423" spans="1:23" ht="15" customHeight="1">
      <c r="C1423" s="3">
        <v>10</v>
      </c>
      <c r="D1423" s="15" t="s">
        <v>1068</v>
      </c>
      <c r="E1423" s="312" t="s">
        <v>162</v>
      </c>
      <c r="G1423" s="26">
        <v>0</v>
      </c>
      <c r="H1423" s="26">
        <v>0</v>
      </c>
      <c r="I1423" s="26">
        <v>0</v>
      </c>
      <c r="J1423" s="26">
        <v>0</v>
      </c>
      <c r="K1423" s="26">
        <v>0</v>
      </c>
      <c r="L1423" s="26">
        <v>179</v>
      </c>
      <c r="M1423" s="26">
        <v>179</v>
      </c>
      <c r="N1423" s="26">
        <v>200</v>
      </c>
      <c r="O1423" s="285"/>
      <c r="P1423" s="202">
        <v>1407</v>
      </c>
      <c r="Q1423" s="210">
        <v>10</v>
      </c>
      <c r="R1423" s="205" t="s">
        <v>2624</v>
      </c>
      <c r="S1423" s="206"/>
      <c r="T1423" s="211"/>
      <c r="U1423" s="211"/>
      <c r="V1423" s="213"/>
      <c r="W1423" s="213"/>
    </row>
    <row r="1424" spans="1:23" ht="15" customHeight="1">
      <c r="G1424" s="26"/>
      <c r="H1424" s="26"/>
      <c r="I1424" s="26"/>
      <c r="J1424" s="26"/>
      <c r="K1424" s="26"/>
      <c r="L1424" s="26"/>
      <c r="M1424" s="26"/>
      <c r="N1424" s="26"/>
      <c r="P1424" s="202">
        <v>1408</v>
      </c>
      <c r="Q1424" s="210">
        <v>10</v>
      </c>
      <c r="R1424" s="205" t="s">
        <v>1140</v>
      </c>
      <c r="S1424" s="206" t="s">
        <v>115</v>
      </c>
      <c r="T1424" s="211">
        <v>800</v>
      </c>
      <c r="U1424" s="211">
        <v>13.95</v>
      </c>
      <c r="V1424" s="213">
        <v>473.64</v>
      </c>
      <c r="W1424" s="213">
        <v>59.21</v>
      </c>
    </row>
    <row r="1425" spans="1:23" s="22" customFormat="1" ht="15" customHeight="1">
      <c r="A1425" s="2" t="s">
        <v>135</v>
      </c>
      <c r="B1425" s="2" t="s">
        <v>2317</v>
      </c>
      <c r="C1425" s="3"/>
      <c r="D1425" s="323" t="s">
        <v>2576</v>
      </c>
      <c r="E1425" s="323"/>
      <c r="F1425" s="324"/>
      <c r="G1425" s="325">
        <f>SUM(G1410:G1424)</f>
        <v>720</v>
      </c>
      <c r="H1425" s="325">
        <f t="shared" ref="H1425:N1425" si="114">SUM(H1410:H1424)</f>
        <v>1646</v>
      </c>
      <c r="I1425" s="325">
        <f t="shared" si="114"/>
        <v>1965</v>
      </c>
      <c r="J1425" s="325">
        <f t="shared" si="114"/>
        <v>1160</v>
      </c>
      <c r="K1425" s="325">
        <f t="shared" si="114"/>
        <v>1850</v>
      </c>
      <c r="L1425" s="325">
        <f t="shared" si="114"/>
        <v>883</v>
      </c>
      <c r="M1425" s="325">
        <f t="shared" si="114"/>
        <v>1989</v>
      </c>
      <c r="N1425" s="325">
        <f t="shared" si="114"/>
        <v>2100</v>
      </c>
      <c r="O1425" s="290"/>
      <c r="P1425" s="202">
        <v>1409</v>
      </c>
      <c r="Q1425" s="210">
        <v>10</v>
      </c>
      <c r="R1425" s="205" t="s">
        <v>1141</v>
      </c>
      <c r="S1425" s="206" t="s">
        <v>117</v>
      </c>
      <c r="T1425" s="211">
        <v>0</v>
      </c>
      <c r="U1425" s="211">
        <v>0</v>
      </c>
      <c r="V1425" s="213">
        <v>0</v>
      </c>
      <c r="W1425" s="213">
        <v>0</v>
      </c>
    </row>
    <row r="1426" spans="1:23" s="46" customFormat="1" ht="15" customHeight="1">
      <c r="A1426" s="2"/>
      <c r="B1426" s="2"/>
      <c r="C1426" s="3"/>
      <c r="D1426" s="47"/>
      <c r="E1426" s="47"/>
      <c r="F1426" s="191"/>
      <c r="G1426" s="48"/>
      <c r="H1426" s="48"/>
      <c r="I1426" s="48"/>
      <c r="J1426" s="48"/>
      <c r="K1426" s="48"/>
      <c r="L1426" s="48"/>
      <c r="M1426" s="48"/>
      <c r="N1426" s="48"/>
      <c r="O1426" s="289"/>
      <c r="P1426" s="202">
        <v>1410</v>
      </c>
      <c r="Q1426" s="210">
        <v>10</v>
      </c>
      <c r="R1426" s="205" t="s">
        <v>1142</v>
      </c>
      <c r="S1426" s="206" t="s">
        <v>119</v>
      </c>
      <c r="T1426" s="211">
        <v>2000</v>
      </c>
      <c r="U1426" s="211">
        <v>0</v>
      </c>
      <c r="V1426" s="213">
        <v>623.1</v>
      </c>
      <c r="W1426" s="213">
        <v>31.16</v>
      </c>
    </row>
    <row r="1427" spans="1:23" ht="15" customHeight="1">
      <c r="D1427" s="47" t="s">
        <v>1974</v>
      </c>
      <c r="G1427" s="26"/>
      <c r="H1427" s="26"/>
      <c r="I1427" s="26"/>
      <c r="J1427" s="26"/>
      <c r="K1427" s="26"/>
      <c r="L1427" s="26"/>
      <c r="M1427" s="26"/>
      <c r="N1427" s="26"/>
      <c r="P1427" s="202">
        <v>1411</v>
      </c>
      <c r="Q1427" s="210">
        <v>10</v>
      </c>
      <c r="R1427" s="205" t="s">
        <v>1143</v>
      </c>
      <c r="S1427" s="206" t="s">
        <v>121</v>
      </c>
      <c r="T1427" s="211">
        <v>1500</v>
      </c>
      <c r="U1427" s="211">
        <v>306.18</v>
      </c>
      <c r="V1427" s="213">
        <v>461.76</v>
      </c>
      <c r="W1427" s="213">
        <v>30.78</v>
      </c>
    </row>
    <row r="1428" spans="1:23" ht="15" customHeight="1">
      <c r="G1428" s="26"/>
      <c r="H1428" s="26"/>
      <c r="I1428" s="26"/>
      <c r="J1428" s="26"/>
      <c r="K1428" s="26"/>
      <c r="L1428" s="26"/>
      <c r="M1428" s="26"/>
      <c r="N1428" s="26"/>
      <c r="P1428" s="202">
        <v>1412</v>
      </c>
      <c r="Q1428" s="210">
        <v>10</v>
      </c>
      <c r="R1428" s="205" t="s">
        <v>1144</v>
      </c>
      <c r="S1428" s="206" t="s">
        <v>123</v>
      </c>
      <c r="T1428" s="211">
        <v>300</v>
      </c>
      <c r="U1428" s="211">
        <v>0</v>
      </c>
      <c r="V1428" s="213">
        <v>423.75</v>
      </c>
      <c r="W1428" s="213">
        <v>141.25</v>
      </c>
    </row>
    <row r="1429" spans="1:23" ht="15" customHeight="1">
      <c r="C1429" s="3">
        <v>10</v>
      </c>
      <c r="D1429" s="15" t="s">
        <v>1069</v>
      </c>
      <c r="E1429" s="312" t="s">
        <v>329</v>
      </c>
      <c r="G1429" s="26">
        <v>0</v>
      </c>
      <c r="H1429" s="26">
        <v>0</v>
      </c>
      <c r="I1429" s="26">
        <v>0</v>
      </c>
      <c r="J1429" s="26">
        <v>0</v>
      </c>
      <c r="K1429" s="26">
        <v>0</v>
      </c>
      <c r="L1429" s="26">
        <v>0</v>
      </c>
      <c r="M1429" s="26">
        <v>0</v>
      </c>
      <c r="N1429" s="26">
        <v>0</v>
      </c>
      <c r="O1429" s="285"/>
      <c r="P1429" s="202">
        <v>1413</v>
      </c>
      <c r="Q1429" s="210">
        <v>10</v>
      </c>
      <c r="R1429" s="205" t="s">
        <v>1145</v>
      </c>
      <c r="S1429" s="206" t="s">
        <v>125</v>
      </c>
      <c r="T1429" s="211">
        <v>0</v>
      </c>
      <c r="U1429" s="211">
        <v>0</v>
      </c>
      <c r="V1429" s="213">
        <v>0</v>
      </c>
      <c r="W1429" s="213">
        <v>0</v>
      </c>
    </row>
    <row r="1430" spans="1:23" ht="15" customHeight="1">
      <c r="C1430" s="3">
        <v>10</v>
      </c>
      <c r="D1430" s="15" t="s">
        <v>1070</v>
      </c>
      <c r="E1430" s="312" t="s">
        <v>165</v>
      </c>
      <c r="G1430" s="26">
        <v>16</v>
      </c>
      <c r="H1430" s="26">
        <v>0</v>
      </c>
      <c r="I1430" s="26">
        <v>0</v>
      </c>
      <c r="J1430" s="26">
        <v>0</v>
      </c>
      <c r="K1430" s="26">
        <v>0</v>
      </c>
      <c r="L1430" s="26">
        <v>0</v>
      </c>
      <c r="M1430" s="26">
        <v>0</v>
      </c>
      <c r="N1430" s="26">
        <v>0</v>
      </c>
      <c r="O1430" s="285"/>
      <c r="P1430" s="202">
        <v>1414</v>
      </c>
      <c r="Q1430" s="210">
        <v>10</v>
      </c>
      <c r="R1430" s="205" t="s">
        <v>1146</v>
      </c>
      <c r="S1430" s="206" t="s">
        <v>106</v>
      </c>
      <c r="T1430" s="211">
        <v>1800</v>
      </c>
      <c r="U1430" s="211">
        <v>179.23</v>
      </c>
      <c r="V1430" s="213">
        <v>1367.22</v>
      </c>
      <c r="W1430" s="213">
        <v>75.959999999999994</v>
      </c>
    </row>
    <row r="1431" spans="1:23" ht="15" customHeight="1">
      <c r="C1431" s="3">
        <v>10</v>
      </c>
      <c r="D1431" s="15" t="s">
        <v>1071</v>
      </c>
      <c r="E1431" s="312" t="s">
        <v>167</v>
      </c>
      <c r="G1431" s="26">
        <v>0</v>
      </c>
      <c r="H1431" s="26">
        <v>0</v>
      </c>
      <c r="I1431" s="26">
        <v>0</v>
      </c>
      <c r="J1431" s="26">
        <v>0</v>
      </c>
      <c r="K1431" s="26">
        <v>0</v>
      </c>
      <c r="L1431" s="26">
        <v>0</v>
      </c>
      <c r="M1431" s="26">
        <v>0</v>
      </c>
      <c r="N1431" s="26">
        <v>0</v>
      </c>
      <c r="O1431" s="285"/>
      <c r="P1431" s="202">
        <v>1415</v>
      </c>
      <c r="Q1431" s="210">
        <v>10</v>
      </c>
      <c r="R1431" s="205" t="s">
        <v>1147</v>
      </c>
      <c r="S1431" s="206" t="s">
        <v>197</v>
      </c>
      <c r="T1431" s="211">
        <v>0</v>
      </c>
      <c r="U1431" s="211">
        <v>0</v>
      </c>
      <c r="V1431" s="213">
        <v>0</v>
      </c>
      <c r="W1431" s="213">
        <v>0</v>
      </c>
    </row>
    <row r="1432" spans="1:23" ht="15" customHeight="1">
      <c r="C1432" s="3">
        <v>10</v>
      </c>
      <c r="D1432" s="15" t="s">
        <v>1072</v>
      </c>
      <c r="E1432" s="312" t="s">
        <v>169</v>
      </c>
      <c r="G1432" s="26">
        <v>2056</v>
      </c>
      <c r="H1432" s="26">
        <v>3763</v>
      </c>
      <c r="I1432" s="26">
        <v>2446</v>
      </c>
      <c r="J1432" s="26">
        <v>2312</v>
      </c>
      <c r="K1432" s="26">
        <v>700</v>
      </c>
      <c r="L1432" s="26">
        <v>279</v>
      </c>
      <c r="M1432" s="26">
        <v>2317</v>
      </c>
      <c r="N1432" s="26">
        <v>2500</v>
      </c>
      <c r="O1432" s="285"/>
      <c r="P1432" s="202">
        <v>1416</v>
      </c>
      <c r="Q1432" s="210">
        <v>10</v>
      </c>
      <c r="R1432" s="205" t="s">
        <v>1148</v>
      </c>
      <c r="S1432" s="206" t="s">
        <v>128</v>
      </c>
      <c r="T1432" s="211">
        <v>0</v>
      </c>
      <c r="U1432" s="211">
        <v>0</v>
      </c>
      <c r="V1432" s="213">
        <v>0</v>
      </c>
      <c r="W1432" s="213">
        <v>0</v>
      </c>
    </row>
    <row r="1433" spans="1:23" ht="15" customHeight="1">
      <c r="C1433" s="3">
        <v>10</v>
      </c>
      <c r="D1433" s="15" t="s">
        <v>1073</v>
      </c>
      <c r="E1433" s="312" t="s">
        <v>175</v>
      </c>
      <c r="G1433" s="26">
        <v>0</v>
      </c>
      <c r="H1433" s="26">
        <v>0</v>
      </c>
      <c r="I1433" s="26">
        <v>0</v>
      </c>
      <c r="J1433" s="26">
        <v>0</v>
      </c>
      <c r="K1433" s="26">
        <v>0</v>
      </c>
      <c r="L1433" s="26">
        <v>0</v>
      </c>
      <c r="M1433" s="26">
        <v>0</v>
      </c>
      <c r="N1433" s="26">
        <v>0</v>
      </c>
      <c r="O1433" s="285"/>
      <c r="P1433" s="202">
        <v>1417</v>
      </c>
      <c r="Q1433" s="210">
        <v>10</v>
      </c>
      <c r="R1433" s="205" t="s">
        <v>1149</v>
      </c>
      <c r="S1433" s="206" t="s">
        <v>200</v>
      </c>
      <c r="T1433" s="211">
        <v>0</v>
      </c>
      <c r="U1433" s="211">
        <v>0</v>
      </c>
      <c r="V1433" s="213">
        <v>0</v>
      </c>
      <c r="W1433" s="213">
        <v>0</v>
      </c>
    </row>
    <row r="1434" spans="1:23" ht="15" customHeight="1">
      <c r="C1434" s="3">
        <v>10</v>
      </c>
      <c r="D1434" s="15" t="s">
        <v>1074</v>
      </c>
      <c r="E1434" s="312" t="s">
        <v>244</v>
      </c>
      <c r="G1434" s="26">
        <v>0</v>
      </c>
      <c r="H1434" s="26">
        <v>0</v>
      </c>
      <c r="I1434" s="26">
        <v>0</v>
      </c>
      <c r="J1434" s="26">
        <v>0</v>
      </c>
      <c r="K1434" s="26">
        <v>0</v>
      </c>
      <c r="L1434" s="26">
        <v>0</v>
      </c>
      <c r="M1434" s="26">
        <v>0</v>
      </c>
      <c r="N1434" s="26">
        <v>0</v>
      </c>
      <c r="O1434" s="285"/>
      <c r="P1434" s="202">
        <v>1418</v>
      </c>
      <c r="Q1434" s="210">
        <v>10</v>
      </c>
      <c r="R1434" s="205" t="s">
        <v>1150</v>
      </c>
      <c r="S1434" s="206" t="s">
        <v>202</v>
      </c>
      <c r="T1434" s="211">
        <v>0</v>
      </c>
      <c r="U1434" s="211">
        <v>0</v>
      </c>
      <c r="V1434" s="213">
        <v>0</v>
      </c>
      <c r="W1434" s="213">
        <v>0</v>
      </c>
    </row>
    <row r="1435" spans="1:23" ht="15" customHeight="1">
      <c r="G1435" s="26"/>
      <c r="H1435" s="26"/>
      <c r="I1435" s="26"/>
      <c r="J1435" s="26"/>
      <c r="K1435" s="26"/>
      <c r="L1435" s="26"/>
      <c r="M1435" s="26"/>
      <c r="N1435" s="26"/>
      <c r="P1435" s="202">
        <v>1419</v>
      </c>
      <c r="Q1435" s="210">
        <v>10</v>
      </c>
      <c r="R1435" s="205" t="s">
        <v>1151</v>
      </c>
      <c r="S1435" s="206" t="s">
        <v>130</v>
      </c>
      <c r="T1435" s="211">
        <v>100</v>
      </c>
      <c r="U1435" s="211">
        <v>46.57</v>
      </c>
      <c r="V1435" s="213">
        <v>92.5</v>
      </c>
      <c r="W1435" s="213">
        <v>92.5</v>
      </c>
    </row>
    <row r="1436" spans="1:23" s="23" customFormat="1" ht="15" customHeight="1">
      <c r="A1436" s="2" t="s">
        <v>163</v>
      </c>
      <c r="B1436" s="2" t="s">
        <v>2317</v>
      </c>
      <c r="C1436" s="3"/>
      <c r="D1436" s="323" t="s">
        <v>2578</v>
      </c>
      <c r="E1436" s="323"/>
      <c r="F1436" s="324"/>
      <c r="G1436" s="325">
        <f>SUM(G1427:G1435)</f>
        <v>2072</v>
      </c>
      <c r="H1436" s="325">
        <f t="shared" ref="H1436:N1436" si="115">SUM(H1427:H1435)</f>
        <v>3763</v>
      </c>
      <c r="I1436" s="325">
        <f t="shared" si="115"/>
        <v>2446</v>
      </c>
      <c r="J1436" s="325">
        <f t="shared" si="115"/>
        <v>2312</v>
      </c>
      <c r="K1436" s="325">
        <f t="shared" si="115"/>
        <v>700</v>
      </c>
      <c r="L1436" s="325">
        <f t="shared" si="115"/>
        <v>279</v>
      </c>
      <c r="M1436" s="325">
        <f t="shared" si="115"/>
        <v>2317</v>
      </c>
      <c r="N1436" s="325">
        <f t="shared" si="115"/>
        <v>2500</v>
      </c>
      <c r="O1436" s="291"/>
      <c r="P1436" s="202">
        <v>1420</v>
      </c>
      <c r="Q1436" s="210">
        <v>10</v>
      </c>
      <c r="R1436" s="205" t="s">
        <v>1152</v>
      </c>
      <c r="S1436" s="206" t="s">
        <v>132</v>
      </c>
      <c r="T1436" s="211">
        <v>1800</v>
      </c>
      <c r="U1436" s="211">
        <v>0</v>
      </c>
      <c r="V1436" s="213">
        <v>2000.57</v>
      </c>
      <c r="W1436" s="213">
        <v>111.14</v>
      </c>
    </row>
    <row r="1437" spans="1:23" s="46" customFormat="1" ht="15" customHeight="1">
      <c r="A1437" s="2"/>
      <c r="B1437" s="2"/>
      <c r="C1437" s="3"/>
      <c r="D1437" s="47"/>
      <c r="E1437" s="47"/>
      <c r="F1437" s="191"/>
      <c r="G1437" s="48"/>
      <c r="H1437" s="48"/>
      <c r="I1437" s="48"/>
      <c r="J1437" s="48"/>
      <c r="K1437" s="48"/>
      <c r="L1437" s="48"/>
      <c r="M1437" s="48"/>
      <c r="N1437" s="48"/>
      <c r="O1437" s="289"/>
      <c r="P1437" s="202">
        <v>1421</v>
      </c>
      <c r="Q1437" s="210">
        <v>10</v>
      </c>
      <c r="R1437" s="205" t="s">
        <v>1153</v>
      </c>
      <c r="S1437" s="206" t="s">
        <v>206</v>
      </c>
      <c r="T1437" s="211">
        <v>0</v>
      </c>
      <c r="U1437" s="211">
        <v>11.52</v>
      </c>
      <c r="V1437" s="213">
        <v>66.14</v>
      </c>
      <c r="W1437" s="213">
        <v>0</v>
      </c>
    </row>
    <row r="1438" spans="1:23" ht="15" customHeight="1">
      <c r="D1438" s="47" t="s">
        <v>1975</v>
      </c>
      <c r="G1438" s="26"/>
      <c r="H1438" s="26"/>
      <c r="I1438" s="26"/>
      <c r="J1438" s="26"/>
      <c r="K1438" s="26"/>
      <c r="L1438" s="26"/>
      <c r="M1438" s="26"/>
      <c r="N1438" s="26"/>
      <c r="P1438" s="202">
        <v>1422</v>
      </c>
      <c r="Q1438" s="210">
        <v>10</v>
      </c>
      <c r="R1438" s="205" t="s">
        <v>1154</v>
      </c>
      <c r="S1438" s="206" t="s">
        <v>134</v>
      </c>
      <c r="T1438" s="211">
        <v>0</v>
      </c>
      <c r="U1438" s="211">
        <v>0</v>
      </c>
      <c r="V1438" s="213">
        <v>0</v>
      </c>
      <c r="W1438" s="213">
        <v>0</v>
      </c>
    </row>
    <row r="1439" spans="1:23" ht="15" customHeight="1">
      <c r="G1439" s="26"/>
      <c r="H1439" s="26"/>
      <c r="I1439" s="26"/>
      <c r="J1439" s="26"/>
      <c r="K1439" s="26"/>
      <c r="L1439" s="26"/>
      <c r="M1439" s="26"/>
      <c r="N1439" s="26"/>
      <c r="P1439" s="202">
        <v>1423</v>
      </c>
      <c r="Q1439" s="210">
        <v>10</v>
      </c>
      <c r="R1439" s="205" t="s">
        <v>2623</v>
      </c>
      <c r="S1439" s="206"/>
      <c r="T1439" s="211"/>
      <c r="U1439" s="211"/>
      <c r="V1439" s="213"/>
      <c r="W1439" s="213"/>
    </row>
    <row r="1440" spans="1:23" ht="15" customHeight="1">
      <c r="C1440" s="3">
        <v>10</v>
      </c>
      <c r="D1440" s="15" t="s">
        <v>1075</v>
      </c>
      <c r="E1440" s="312" t="s">
        <v>329</v>
      </c>
      <c r="G1440" s="26">
        <v>0</v>
      </c>
      <c r="H1440" s="26">
        <v>0</v>
      </c>
      <c r="I1440" s="26">
        <v>0</v>
      </c>
      <c r="J1440" s="26">
        <v>0</v>
      </c>
      <c r="K1440" s="26">
        <v>0</v>
      </c>
      <c r="L1440" s="26">
        <v>0</v>
      </c>
      <c r="M1440" s="26">
        <v>0</v>
      </c>
      <c r="N1440" s="26">
        <v>0</v>
      </c>
      <c r="O1440" s="285"/>
      <c r="P1440" s="202">
        <v>1424</v>
      </c>
      <c r="Q1440" s="210">
        <v>10</v>
      </c>
      <c r="R1440" s="205" t="s">
        <v>104</v>
      </c>
      <c r="S1440" s="206"/>
      <c r="T1440" s="211">
        <v>8300</v>
      </c>
      <c r="U1440" s="211">
        <v>557.45000000000005</v>
      </c>
      <c r="V1440" s="213">
        <v>5508.68</v>
      </c>
      <c r="W1440" s="213">
        <v>0</v>
      </c>
    </row>
    <row r="1441" spans="1:23" ht="15" customHeight="1">
      <c r="C1441" s="3">
        <v>10</v>
      </c>
      <c r="D1441" s="15" t="s">
        <v>1076</v>
      </c>
      <c r="E1441" s="312" t="s">
        <v>165</v>
      </c>
      <c r="G1441" s="26">
        <v>0</v>
      </c>
      <c r="H1441" s="26">
        <v>0</v>
      </c>
      <c r="I1441" s="26">
        <v>0</v>
      </c>
      <c r="J1441" s="26">
        <v>0</v>
      </c>
      <c r="K1441" s="26">
        <v>0</v>
      </c>
      <c r="L1441" s="26">
        <v>0</v>
      </c>
      <c r="M1441" s="26">
        <v>0</v>
      </c>
      <c r="N1441" s="26">
        <v>0</v>
      </c>
      <c r="O1441" s="285"/>
      <c r="P1441" s="202">
        <v>1425</v>
      </c>
      <c r="Q1441" s="210">
        <v>10</v>
      </c>
      <c r="R1441" s="205" t="s">
        <v>135</v>
      </c>
      <c r="S1441" s="206"/>
      <c r="T1441" s="211"/>
      <c r="U1441" s="211"/>
      <c r="V1441" s="213"/>
      <c r="W1441" s="213"/>
    </row>
    <row r="1442" spans="1:23" ht="15" customHeight="1">
      <c r="C1442" s="3">
        <v>10</v>
      </c>
      <c r="D1442" s="15" t="s">
        <v>1077</v>
      </c>
      <c r="E1442" s="312" t="s">
        <v>167</v>
      </c>
      <c r="G1442" s="26">
        <v>0</v>
      </c>
      <c r="H1442" s="26">
        <v>0</v>
      </c>
      <c r="I1442" s="26">
        <v>0</v>
      </c>
      <c r="J1442" s="26">
        <v>0</v>
      </c>
      <c r="K1442" s="26">
        <v>0</v>
      </c>
      <c r="L1442" s="26">
        <v>0</v>
      </c>
      <c r="M1442" s="26">
        <v>0</v>
      </c>
      <c r="N1442" s="26">
        <v>0</v>
      </c>
      <c r="O1442" s="285"/>
      <c r="P1442" s="202">
        <v>1426</v>
      </c>
      <c r="Q1442" s="210">
        <v>10</v>
      </c>
      <c r="R1442" s="205" t="s">
        <v>2626</v>
      </c>
      <c r="S1442" s="206"/>
      <c r="T1442" s="211"/>
      <c r="U1442" s="211"/>
      <c r="V1442" s="213"/>
      <c r="W1442" s="213"/>
    </row>
    <row r="1443" spans="1:23" ht="15" customHeight="1">
      <c r="C1443" s="3">
        <v>10</v>
      </c>
      <c r="D1443" s="15" t="s">
        <v>1078</v>
      </c>
      <c r="E1443" s="312" t="s">
        <v>247</v>
      </c>
      <c r="G1443" s="26">
        <v>1277</v>
      </c>
      <c r="H1443" s="26">
        <v>0</v>
      </c>
      <c r="I1443" s="26">
        <v>0</v>
      </c>
      <c r="J1443" s="26">
        <v>819</v>
      </c>
      <c r="K1443" s="26">
        <v>0</v>
      </c>
      <c r="L1443" s="26">
        <v>0</v>
      </c>
      <c r="M1443" s="26">
        <v>0</v>
      </c>
      <c r="N1443" s="26">
        <v>0</v>
      </c>
      <c r="O1443" s="285"/>
      <c r="P1443" s="202">
        <v>1427</v>
      </c>
      <c r="Q1443" s="210">
        <v>10</v>
      </c>
      <c r="R1443" s="205" t="s">
        <v>1155</v>
      </c>
      <c r="S1443" s="206" t="s">
        <v>137</v>
      </c>
      <c r="T1443" s="211">
        <v>1800</v>
      </c>
      <c r="U1443" s="211">
        <v>155.55000000000001</v>
      </c>
      <c r="V1443" s="213">
        <v>1372.94</v>
      </c>
      <c r="W1443" s="213">
        <v>76.27</v>
      </c>
    </row>
    <row r="1444" spans="1:23" ht="15" customHeight="1">
      <c r="C1444" s="3">
        <v>10</v>
      </c>
      <c r="D1444" s="15" t="s">
        <v>1079</v>
      </c>
      <c r="E1444" s="312" t="s">
        <v>244</v>
      </c>
      <c r="G1444" s="26">
        <v>0</v>
      </c>
      <c r="H1444" s="26">
        <v>0</v>
      </c>
      <c r="I1444" s="26">
        <v>0</v>
      </c>
      <c r="J1444" s="26">
        <v>0</v>
      </c>
      <c r="K1444" s="26">
        <v>0</v>
      </c>
      <c r="L1444" s="26">
        <v>0</v>
      </c>
      <c r="M1444" s="26">
        <v>0</v>
      </c>
      <c r="N1444" s="26">
        <v>0</v>
      </c>
      <c r="O1444" s="285"/>
      <c r="P1444" s="202">
        <v>1428</v>
      </c>
      <c r="Q1444" s="210">
        <v>10</v>
      </c>
      <c r="R1444" s="205" t="s">
        <v>1156</v>
      </c>
      <c r="S1444" s="206" t="s">
        <v>216</v>
      </c>
      <c r="T1444" s="211">
        <v>0</v>
      </c>
      <c r="U1444" s="211">
        <v>60</v>
      </c>
      <c r="V1444" s="213">
        <v>3709.6</v>
      </c>
      <c r="W1444" s="213">
        <v>0</v>
      </c>
    </row>
    <row r="1445" spans="1:23" ht="15" customHeight="1">
      <c r="G1445" s="26"/>
      <c r="H1445" s="26"/>
      <c r="I1445" s="26"/>
      <c r="J1445" s="26"/>
      <c r="K1445" s="26"/>
      <c r="L1445" s="26"/>
      <c r="M1445" s="26"/>
      <c r="N1445" s="26"/>
      <c r="P1445" s="202">
        <v>1429</v>
      </c>
      <c r="Q1445" s="210">
        <v>10</v>
      </c>
      <c r="R1445" s="205" t="s">
        <v>1157</v>
      </c>
      <c r="S1445" s="206" t="s">
        <v>139</v>
      </c>
      <c r="T1445" s="211">
        <v>8000</v>
      </c>
      <c r="U1445" s="211">
        <v>594.72</v>
      </c>
      <c r="V1445" s="213">
        <v>-39.79</v>
      </c>
      <c r="W1445" s="213">
        <v>-0.5</v>
      </c>
    </row>
    <row r="1446" spans="1:23" s="24" customFormat="1" ht="15" customHeight="1">
      <c r="A1446" s="2" t="s">
        <v>245</v>
      </c>
      <c r="B1446" s="2" t="s">
        <v>2317</v>
      </c>
      <c r="C1446" s="3"/>
      <c r="D1446" s="323" t="s">
        <v>2577</v>
      </c>
      <c r="E1446" s="323"/>
      <c r="F1446" s="324"/>
      <c r="G1446" s="325">
        <f>SUM(G1438:G1445)</f>
        <v>1277</v>
      </c>
      <c r="H1446" s="325">
        <f t="shared" ref="H1446:N1446" si="116">SUM(H1438:H1445)</f>
        <v>0</v>
      </c>
      <c r="I1446" s="325">
        <f t="shared" si="116"/>
        <v>0</v>
      </c>
      <c r="J1446" s="325">
        <f t="shared" si="116"/>
        <v>819</v>
      </c>
      <c r="K1446" s="325">
        <f t="shared" si="116"/>
        <v>0</v>
      </c>
      <c r="L1446" s="325">
        <f t="shared" si="116"/>
        <v>0</v>
      </c>
      <c r="M1446" s="325">
        <f t="shared" si="116"/>
        <v>0</v>
      </c>
      <c r="N1446" s="325">
        <f t="shared" si="116"/>
        <v>0</v>
      </c>
      <c r="O1446" s="292"/>
      <c r="P1446" s="202">
        <v>1430</v>
      </c>
      <c r="Q1446" s="210">
        <v>10</v>
      </c>
      <c r="R1446" s="205" t="s">
        <v>1158</v>
      </c>
      <c r="S1446" s="206" t="s">
        <v>145</v>
      </c>
      <c r="T1446" s="211">
        <v>0</v>
      </c>
      <c r="U1446" s="211">
        <v>0</v>
      </c>
      <c r="V1446" s="213">
        <v>0</v>
      </c>
      <c r="W1446" s="213">
        <v>0</v>
      </c>
    </row>
    <row r="1447" spans="1:23" ht="15" customHeight="1">
      <c r="G1447" s="26"/>
      <c r="H1447" s="26"/>
      <c r="I1447" s="26"/>
      <c r="J1447" s="26"/>
      <c r="K1447" s="26"/>
      <c r="L1447" s="26"/>
      <c r="M1447" s="26"/>
      <c r="N1447" s="26"/>
      <c r="P1447" s="202">
        <v>1431</v>
      </c>
      <c r="Q1447" s="210">
        <v>10</v>
      </c>
      <c r="R1447" s="205" t="s">
        <v>1159</v>
      </c>
      <c r="S1447" s="206" t="s">
        <v>147</v>
      </c>
      <c r="T1447" s="211">
        <v>0</v>
      </c>
      <c r="U1447" s="211">
        <v>0</v>
      </c>
      <c r="V1447" s="213">
        <v>0</v>
      </c>
      <c r="W1447" s="213">
        <v>0</v>
      </c>
    </row>
    <row r="1448" spans="1:23" s="43" customFormat="1" ht="15" customHeight="1" thickBot="1">
      <c r="A1448" s="2"/>
      <c r="B1448" s="2" t="s">
        <v>2317</v>
      </c>
      <c r="C1448" s="3"/>
      <c r="D1448" s="68" t="s">
        <v>1992</v>
      </c>
      <c r="E1448" s="326"/>
      <c r="F1448" s="327"/>
      <c r="G1448" s="328">
        <f>+G1446+G1436+G1425+G1408+G1391</f>
        <v>55584</v>
      </c>
      <c r="H1448" s="328">
        <f t="shared" ref="H1448:N1448" si="117">+H1446+H1436+H1425+H1408+H1391</f>
        <v>47188</v>
      </c>
      <c r="I1448" s="328">
        <f t="shared" si="117"/>
        <v>46473</v>
      </c>
      <c r="J1448" s="328">
        <f t="shared" si="117"/>
        <v>49624</v>
      </c>
      <c r="K1448" s="328">
        <f t="shared" si="117"/>
        <v>47938</v>
      </c>
      <c r="L1448" s="328">
        <f t="shared" si="117"/>
        <v>28373</v>
      </c>
      <c r="M1448" s="328">
        <f t="shared" si="117"/>
        <v>50850.020000000004</v>
      </c>
      <c r="N1448" s="328">
        <f t="shared" si="117"/>
        <v>52605</v>
      </c>
      <c r="O1448" s="288"/>
      <c r="P1448" s="202">
        <v>1432</v>
      </c>
      <c r="Q1448" s="210">
        <v>10</v>
      </c>
      <c r="R1448" s="205" t="s">
        <v>1160</v>
      </c>
      <c r="S1448" s="206" t="s">
        <v>149</v>
      </c>
      <c r="T1448" s="211">
        <v>25000</v>
      </c>
      <c r="U1448" s="211">
        <v>4650.01</v>
      </c>
      <c r="V1448" s="213">
        <v>5585.2</v>
      </c>
      <c r="W1448" s="213">
        <v>22.34</v>
      </c>
    </row>
    <row r="1449" spans="1:23" s="45" customFormat="1" ht="15" customHeight="1" thickTop="1">
      <c r="A1449" s="2"/>
      <c r="B1449" s="2"/>
      <c r="C1449" s="3"/>
      <c r="D1449" s="47"/>
      <c r="E1449" s="15"/>
      <c r="F1449" s="105"/>
      <c r="G1449" s="26"/>
      <c r="H1449" s="26"/>
      <c r="I1449" s="26"/>
      <c r="J1449" s="26"/>
      <c r="K1449" s="26"/>
      <c r="L1449" s="26"/>
      <c r="M1449" s="26"/>
      <c r="N1449" s="26"/>
      <c r="O1449" s="275"/>
      <c r="P1449" s="202">
        <v>1433</v>
      </c>
      <c r="Q1449" s="210">
        <v>10</v>
      </c>
      <c r="R1449" s="205" t="s">
        <v>1161</v>
      </c>
      <c r="S1449" s="206" t="s">
        <v>151</v>
      </c>
      <c r="T1449" s="211">
        <v>650</v>
      </c>
      <c r="U1449" s="211">
        <v>60</v>
      </c>
      <c r="V1449" s="213">
        <v>215</v>
      </c>
      <c r="W1449" s="213">
        <v>33.08</v>
      </c>
    </row>
    <row r="1450" spans="1:23" s="45" customFormat="1" ht="15" customHeight="1">
      <c r="A1450" s="2"/>
      <c r="B1450" s="2"/>
      <c r="C1450" s="3"/>
      <c r="D1450" s="47" t="s">
        <v>15</v>
      </c>
      <c r="E1450" s="15"/>
      <c r="F1450" s="105"/>
      <c r="G1450" s="26"/>
      <c r="H1450" s="26"/>
      <c r="I1450" s="26"/>
      <c r="J1450" s="26"/>
      <c r="K1450" s="26"/>
      <c r="L1450" s="26"/>
      <c r="M1450" s="26"/>
      <c r="N1450" s="26"/>
      <c r="O1450" s="275"/>
      <c r="P1450" s="202">
        <v>1434</v>
      </c>
      <c r="Q1450" s="210">
        <v>10</v>
      </c>
      <c r="R1450" s="205" t="s">
        <v>1162</v>
      </c>
      <c r="S1450" s="206" t="s">
        <v>153</v>
      </c>
      <c r="T1450" s="211">
        <v>4000</v>
      </c>
      <c r="U1450" s="211">
        <v>130</v>
      </c>
      <c r="V1450" s="213">
        <v>1192.04</v>
      </c>
      <c r="W1450" s="213">
        <v>29.8</v>
      </c>
    </row>
    <row r="1451" spans="1:23" s="45" customFormat="1" ht="15" customHeight="1">
      <c r="A1451" s="2"/>
      <c r="B1451" s="2"/>
      <c r="C1451" s="3"/>
      <c r="D1451" s="47"/>
      <c r="E1451" s="15"/>
      <c r="F1451" s="105"/>
      <c r="G1451" s="26"/>
      <c r="H1451" s="26"/>
      <c r="I1451" s="26"/>
      <c r="J1451" s="26"/>
      <c r="K1451" s="26"/>
      <c r="L1451" s="26"/>
      <c r="M1451" s="26"/>
      <c r="N1451" s="26"/>
      <c r="O1451" s="275"/>
      <c r="P1451" s="202">
        <v>1435</v>
      </c>
      <c r="Q1451" s="210">
        <v>10</v>
      </c>
      <c r="R1451" s="205" t="s">
        <v>1163</v>
      </c>
      <c r="S1451" s="206" t="s">
        <v>155</v>
      </c>
      <c r="T1451" s="211">
        <v>0</v>
      </c>
      <c r="U1451" s="211">
        <v>0</v>
      </c>
      <c r="V1451" s="213">
        <v>0</v>
      </c>
      <c r="W1451" s="213">
        <v>0</v>
      </c>
    </row>
    <row r="1452" spans="1:23" s="5" customFormat="1" ht="15" customHeight="1">
      <c r="A1452" s="2"/>
      <c r="B1452" s="2"/>
      <c r="C1452" s="3"/>
      <c r="D1452" s="47" t="s">
        <v>2150</v>
      </c>
      <c r="E1452" s="15"/>
      <c r="F1452" s="105"/>
      <c r="G1452" s="26"/>
      <c r="H1452" s="26"/>
      <c r="I1452" s="26"/>
      <c r="J1452" s="26"/>
      <c r="K1452" s="26"/>
      <c r="L1452" s="26"/>
      <c r="M1452" s="26"/>
      <c r="N1452" s="26"/>
      <c r="O1452" s="282"/>
      <c r="P1452" s="202">
        <v>1436</v>
      </c>
      <c r="Q1452" s="210">
        <v>10</v>
      </c>
      <c r="R1452" s="205" t="s">
        <v>1164</v>
      </c>
      <c r="S1452" s="206" t="s">
        <v>159</v>
      </c>
      <c r="T1452" s="211">
        <v>0</v>
      </c>
      <c r="U1452" s="211">
        <v>0</v>
      </c>
      <c r="V1452" s="213">
        <v>0</v>
      </c>
      <c r="W1452" s="213">
        <v>0</v>
      </c>
    </row>
    <row r="1453" spans="1:23" ht="15" customHeight="1">
      <c r="G1453" s="26"/>
      <c r="H1453" s="26"/>
      <c r="I1453" s="26"/>
      <c r="J1453" s="26"/>
      <c r="K1453" s="26"/>
      <c r="L1453" s="26"/>
      <c r="M1453" s="26"/>
      <c r="N1453" s="26"/>
      <c r="P1453" s="202">
        <v>1437</v>
      </c>
      <c r="Q1453" s="210">
        <v>10</v>
      </c>
      <c r="R1453" s="205" t="s">
        <v>1165</v>
      </c>
      <c r="S1453" s="206" t="s">
        <v>229</v>
      </c>
      <c r="T1453" s="211">
        <v>0</v>
      </c>
      <c r="U1453" s="211">
        <v>0</v>
      </c>
      <c r="V1453" s="213">
        <v>0</v>
      </c>
      <c r="W1453" s="213">
        <v>0</v>
      </c>
    </row>
    <row r="1454" spans="1:23" ht="15" customHeight="1">
      <c r="C1454" s="3">
        <v>10</v>
      </c>
      <c r="D1454" s="15" t="s">
        <v>1080</v>
      </c>
      <c r="E1454" s="312" t="s">
        <v>79</v>
      </c>
      <c r="G1454" s="26">
        <v>84495</v>
      </c>
      <c r="H1454" s="26">
        <v>59359</v>
      </c>
      <c r="I1454" s="26">
        <v>62040</v>
      </c>
      <c r="J1454" s="26">
        <v>63288</v>
      </c>
      <c r="K1454" s="26">
        <v>64546</v>
      </c>
      <c r="L1454" s="26">
        <v>37646</v>
      </c>
      <c r="M1454" s="26">
        <v>64546</v>
      </c>
      <c r="N1454" s="26">
        <v>65263</v>
      </c>
      <c r="P1454" s="202">
        <v>1438</v>
      </c>
      <c r="Q1454" s="210">
        <v>10</v>
      </c>
      <c r="R1454" s="205" t="s">
        <v>1166</v>
      </c>
      <c r="S1454" s="206" t="s">
        <v>162</v>
      </c>
      <c r="T1454" s="211">
        <v>300</v>
      </c>
      <c r="U1454" s="211">
        <v>98.8</v>
      </c>
      <c r="V1454" s="213">
        <v>231</v>
      </c>
      <c r="W1454" s="213">
        <v>77</v>
      </c>
    </row>
    <row r="1455" spans="1:23" ht="15" customHeight="1">
      <c r="C1455" s="3">
        <v>10</v>
      </c>
      <c r="D1455" s="15" t="s">
        <v>1081</v>
      </c>
      <c r="E1455" s="312" t="s">
        <v>81</v>
      </c>
      <c r="G1455" s="26">
        <v>8601</v>
      </c>
      <c r="H1455" s="26">
        <v>6659</v>
      </c>
      <c r="I1455" s="26">
        <v>6659</v>
      </c>
      <c r="J1455" s="26">
        <v>6659</v>
      </c>
      <c r="K1455" s="26">
        <v>6659</v>
      </c>
      <c r="L1455" s="26">
        <v>3884</v>
      </c>
      <c r="M1455" s="26">
        <v>6659</v>
      </c>
      <c r="N1455" s="26">
        <v>6659</v>
      </c>
      <c r="P1455" s="202">
        <v>1439</v>
      </c>
      <c r="Q1455" s="210">
        <v>10</v>
      </c>
      <c r="R1455" s="205" t="s">
        <v>2623</v>
      </c>
      <c r="S1455" s="206"/>
      <c r="T1455" s="211"/>
      <c r="U1455" s="211"/>
      <c r="V1455" s="213"/>
      <c r="W1455" s="213"/>
    </row>
    <row r="1456" spans="1:23" ht="15" customHeight="1">
      <c r="C1456" s="3">
        <v>10</v>
      </c>
      <c r="D1456" s="15" t="s">
        <v>1082</v>
      </c>
      <c r="E1456" s="312" t="s">
        <v>83</v>
      </c>
      <c r="G1456" s="26">
        <v>0</v>
      </c>
      <c r="H1456" s="26">
        <v>45</v>
      </c>
      <c r="I1456" s="26">
        <v>0</v>
      </c>
      <c r="J1456" s="26">
        <v>0</v>
      </c>
      <c r="K1456" s="26">
        <v>0</v>
      </c>
      <c r="L1456" s="26">
        <v>0</v>
      </c>
      <c r="M1456" s="26">
        <v>0</v>
      </c>
      <c r="N1456" s="26">
        <v>0</v>
      </c>
      <c r="P1456" s="202">
        <v>1440</v>
      </c>
      <c r="Q1456" s="210">
        <v>10</v>
      </c>
      <c r="R1456" s="205" t="s">
        <v>135</v>
      </c>
      <c r="S1456" s="206"/>
      <c r="T1456" s="211">
        <v>39750</v>
      </c>
      <c r="U1456" s="211">
        <v>5749.08</v>
      </c>
      <c r="V1456" s="213">
        <v>12265.99</v>
      </c>
      <c r="W1456" s="213">
        <v>0</v>
      </c>
    </row>
    <row r="1457" spans="1:23" ht="15" customHeight="1">
      <c r="C1457" s="3">
        <v>10</v>
      </c>
      <c r="D1457" s="15" t="s">
        <v>1083</v>
      </c>
      <c r="E1457" s="312" t="s">
        <v>85</v>
      </c>
      <c r="G1457" s="26">
        <v>179</v>
      </c>
      <c r="H1457" s="26">
        <v>19</v>
      </c>
      <c r="I1457" s="26">
        <v>189</v>
      </c>
      <c r="J1457" s="26">
        <v>72</v>
      </c>
      <c r="K1457" s="26">
        <v>193</v>
      </c>
      <c r="L1457" s="26">
        <v>261</v>
      </c>
      <c r="M1457" s="26">
        <v>261</v>
      </c>
      <c r="N1457" s="26">
        <v>270</v>
      </c>
      <c r="P1457" s="202">
        <v>1441</v>
      </c>
      <c r="Q1457" s="210">
        <v>10</v>
      </c>
      <c r="R1457" s="205" t="s">
        <v>163</v>
      </c>
      <c r="S1457" s="206"/>
      <c r="T1457" s="211"/>
      <c r="U1457" s="211"/>
      <c r="V1457" s="213"/>
      <c r="W1457" s="213"/>
    </row>
    <row r="1458" spans="1:23" ht="15" customHeight="1">
      <c r="C1458" s="3">
        <v>10</v>
      </c>
      <c r="D1458" s="15" t="s">
        <v>1084</v>
      </c>
      <c r="E1458" s="312" t="s">
        <v>87</v>
      </c>
      <c r="G1458" s="26">
        <v>6347</v>
      </c>
      <c r="H1458" s="26">
        <v>4225</v>
      </c>
      <c r="I1458" s="26">
        <v>4430</v>
      </c>
      <c r="J1458" s="26">
        <v>4686</v>
      </c>
      <c r="K1458" s="26">
        <v>4951</v>
      </c>
      <c r="L1458" s="26">
        <v>2884</v>
      </c>
      <c r="M1458" s="26">
        <v>4951</v>
      </c>
      <c r="N1458" s="26">
        <v>5022</v>
      </c>
      <c r="P1458" s="202">
        <v>1442</v>
      </c>
      <c r="Q1458" s="210">
        <v>10</v>
      </c>
      <c r="R1458" s="205" t="s">
        <v>2627</v>
      </c>
      <c r="S1458" s="206"/>
      <c r="T1458" s="211"/>
      <c r="U1458" s="211"/>
      <c r="V1458" s="213"/>
      <c r="W1458" s="213"/>
    </row>
    <row r="1459" spans="1:23" ht="15" customHeight="1">
      <c r="C1459" s="3">
        <v>10</v>
      </c>
      <c r="D1459" s="15" t="s">
        <v>1085</v>
      </c>
      <c r="E1459" s="312" t="s">
        <v>89</v>
      </c>
      <c r="G1459" s="26">
        <v>12171</v>
      </c>
      <c r="H1459" s="26">
        <v>8560</v>
      </c>
      <c r="I1459" s="26">
        <v>9395</v>
      </c>
      <c r="J1459" s="26">
        <v>10208</v>
      </c>
      <c r="K1459" s="26">
        <v>10366</v>
      </c>
      <c r="L1459" s="26">
        <v>6155</v>
      </c>
      <c r="M1459" s="26">
        <v>10366</v>
      </c>
      <c r="N1459" s="26">
        <v>11478</v>
      </c>
      <c r="P1459" s="202">
        <v>1443</v>
      </c>
      <c r="Q1459" s="210">
        <v>10</v>
      </c>
      <c r="R1459" s="205" t="s">
        <v>1167</v>
      </c>
      <c r="S1459" s="206" t="s">
        <v>433</v>
      </c>
      <c r="T1459" s="211">
        <v>0</v>
      </c>
      <c r="U1459" s="211">
        <v>0</v>
      </c>
      <c r="V1459" s="213">
        <v>0</v>
      </c>
      <c r="W1459" s="213">
        <v>0</v>
      </c>
    </row>
    <row r="1460" spans="1:23" ht="15" customHeight="1">
      <c r="C1460" s="3">
        <v>10</v>
      </c>
      <c r="D1460" s="15" t="s">
        <v>1086</v>
      </c>
      <c r="E1460" s="312" t="s">
        <v>91</v>
      </c>
      <c r="G1460" s="26">
        <v>0</v>
      </c>
      <c r="H1460" s="26">
        <v>0</v>
      </c>
      <c r="I1460" s="26">
        <v>0</v>
      </c>
      <c r="J1460" s="26">
        <v>0</v>
      </c>
      <c r="K1460" s="26">
        <v>0</v>
      </c>
      <c r="L1460" s="26">
        <v>0</v>
      </c>
      <c r="M1460" s="26">
        <v>0</v>
      </c>
      <c r="N1460" s="26">
        <v>0</v>
      </c>
      <c r="P1460" s="202">
        <v>1444</v>
      </c>
      <c r="Q1460" s="210">
        <v>10</v>
      </c>
      <c r="R1460" s="205" t="s">
        <v>1168</v>
      </c>
      <c r="S1460" s="206" t="s">
        <v>329</v>
      </c>
      <c r="T1460" s="211">
        <v>0</v>
      </c>
      <c r="U1460" s="211">
        <v>0</v>
      </c>
      <c r="V1460" s="213">
        <v>0</v>
      </c>
      <c r="W1460" s="213">
        <v>0</v>
      </c>
    </row>
    <row r="1461" spans="1:23" ht="15" customHeight="1">
      <c r="C1461" s="3">
        <v>10</v>
      </c>
      <c r="D1461" s="15" t="s">
        <v>1087</v>
      </c>
      <c r="E1461" s="312" t="s">
        <v>93</v>
      </c>
      <c r="G1461" s="26">
        <v>0</v>
      </c>
      <c r="H1461" s="26">
        <v>0</v>
      </c>
      <c r="I1461" s="26">
        <v>0</v>
      </c>
      <c r="J1461" s="26">
        <v>0</v>
      </c>
      <c r="K1461" s="26">
        <v>0</v>
      </c>
      <c r="L1461" s="26">
        <v>0</v>
      </c>
      <c r="M1461" s="26">
        <v>0</v>
      </c>
      <c r="N1461" s="26">
        <v>0</v>
      </c>
      <c r="P1461" s="202">
        <v>1445</v>
      </c>
      <c r="Q1461" s="210">
        <v>10</v>
      </c>
      <c r="R1461" s="205" t="s">
        <v>1169</v>
      </c>
      <c r="S1461" s="206" t="s">
        <v>165</v>
      </c>
      <c r="T1461" s="211">
        <v>0</v>
      </c>
      <c r="U1461" s="211">
        <v>0</v>
      </c>
      <c r="V1461" s="213">
        <v>0</v>
      </c>
      <c r="W1461" s="213">
        <v>0</v>
      </c>
    </row>
    <row r="1462" spans="1:23" ht="15" customHeight="1">
      <c r="C1462" s="3">
        <v>10</v>
      </c>
      <c r="D1462" s="15" t="s">
        <v>1088</v>
      </c>
      <c r="E1462" s="312" t="s">
        <v>95</v>
      </c>
      <c r="G1462" s="26">
        <v>0</v>
      </c>
      <c r="H1462" s="26">
        <v>0</v>
      </c>
      <c r="I1462" s="26">
        <v>0</v>
      </c>
      <c r="J1462" s="26">
        <v>0</v>
      </c>
      <c r="K1462" s="26">
        <v>0</v>
      </c>
      <c r="L1462" s="26">
        <v>0</v>
      </c>
      <c r="M1462" s="26">
        <v>0</v>
      </c>
      <c r="N1462" s="26">
        <v>0</v>
      </c>
      <c r="P1462" s="202">
        <v>1446</v>
      </c>
      <c r="Q1462" s="210">
        <v>10</v>
      </c>
      <c r="R1462" s="205" t="s">
        <v>1170</v>
      </c>
      <c r="S1462" s="206" t="s">
        <v>167</v>
      </c>
      <c r="T1462" s="211">
        <v>0</v>
      </c>
      <c r="U1462" s="211">
        <v>0</v>
      </c>
      <c r="V1462" s="213">
        <v>0</v>
      </c>
      <c r="W1462" s="213">
        <v>0</v>
      </c>
    </row>
    <row r="1463" spans="1:23" ht="15" customHeight="1">
      <c r="C1463" s="3">
        <v>10</v>
      </c>
      <c r="D1463" s="15" t="s">
        <v>1089</v>
      </c>
      <c r="E1463" s="312" t="s">
        <v>97</v>
      </c>
      <c r="G1463" s="26">
        <v>1233</v>
      </c>
      <c r="H1463" s="26">
        <v>0</v>
      </c>
      <c r="I1463" s="26">
        <v>0</v>
      </c>
      <c r="J1463" s="26">
        <v>0</v>
      </c>
      <c r="K1463" s="26">
        <v>0</v>
      </c>
      <c r="L1463" s="26">
        <v>0</v>
      </c>
      <c r="M1463" s="26">
        <v>32</v>
      </c>
      <c r="N1463" s="26">
        <v>212</v>
      </c>
      <c r="P1463" s="202">
        <v>1447</v>
      </c>
      <c r="Q1463" s="210">
        <v>10</v>
      </c>
      <c r="R1463" s="205" t="s">
        <v>1171</v>
      </c>
      <c r="S1463" s="206" t="s">
        <v>169</v>
      </c>
      <c r="T1463" s="211">
        <v>400</v>
      </c>
      <c r="U1463" s="211">
        <v>33.78</v>
      </c>
      <c r="V1463" s="213">
        <v>465.62</v>
      </c>
      <c r="W1463" s="213">
        <v>116.41</v>
      </c>
    </row>
    <row r="1464" spans="1:23" ht="15" customHeight="1">
      <c r="C1464" s="3">
        <v>10</v>
      </c>
      <c r="D1464" s="15" t="s">
        <v>1090</v>
      </c>
      <c r="E1464" s="312" t="s">
        <v>99</v>
      </c>
      <c r="G1464" s="26">
        <v>59</v>
      </c>
      <c r="H1464" s="26">
        <v>59</v>
      </c>
      <c r="I1464" s="26">
        <v>59</v>
      </c>
      <c r="J1464" s="26">
        <v>59</v>
      </c>
      <c r="K1464" s="26">
        <v>59</v>
      </c>
      <c r="L1464" s="26">
        <v>57</v>
      </c>
      <c r="M1464" s="26">
        <v>59</v>
      </c>
      <c r="N1464" s="26">
        <v>59</v>
      </c>
      <c r="P1464" s="202">
        <v>1448</v>
      </c>
      <c r="Q1464" s="210">
        <v>10</v>
      </c>
      <c r="R1464" s="205" t="s">
        <v>1172</v>
      </c>
      <c r="S1464" s="206" t="s">
        <v>171</v>
      </c>
      <c r="T1464" s="211">
        <v>1500</v>
      </c>
      <c r="U1464" s="211">
        <v>10.78</v>
      </c>
      <c r="V1464" s="213">
        <v>105.28</v>
      </c>
      <c r="W1464" s="213">
        <v>7.02</v>
      </c>
    </row>
    <row r="1465" spans="1:23" ht="15" customHeight="1">
      <c r="C1465" s="3">
        <v>10</v>
      </c>
      <c r="D1465" s="15" t="s">
        <v>1091</v>
      </c>
      <c r="E1465" s="312" t="s">
        <v>101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P1465" s="202">
        <v>1449</v>
      </c>
      <c r="Q1465" s="210">
        <v>10</v>
      </c>
      <c r="R1465" s="205" t="s">
        <v>1173</v>
      </c>
      <c r="S1465" s="206" t="s">
        <v>173</v>
      </c>
      <c r="T1465" s="211">
        <v>0</v>
      </c>
      <c r="U1465" s="211">
        <v>0</v>
      </c>
      <c r="V1465" s="213">
        <v>182.44</v>
      </c>
      <c r="W1465" s="213">
        <v>0</v>
      </c>
    </row>
    <row r="1466" spans="1:23" ht="15" customHeight="1">
      <c r="C1466" s="3">
        <v>10</v>
      </c>
      <c r="D1466" s="15" t="s">
        <v>1092</v>
      </c>
      <c r="E1466" s="312" t="s">
        <v>103</v>
      </c>
      <c r="G1466" s="26">
        <v>0</v>
      </c>
      <c r="H1466" s="26">
        <v>0</v>
      </c>
      <c r="I1466" s="26">
        <v>0</v>
      </c>
      <c r="J1466" s="26">
        <v>0</v>
      </c>
      <c r="K1466" s="26">
        <v>0</v>
      </c>
      <c r="L1466" s="26">
        <v>0</v>
      </c>
      <c r="M1466" s="26">
        <v>0</v>
      </c>
      <c r="N1466" s="26">
        <v>0</v>
      </c>
      <c r="P1466" s="202">
        <v>1450</v>
      </c>
      <c r="Q1466" s="210">
        <v>10</v>
      </c>
      <c r="R1466" s="205" t="s">
        <v>1174</v>
      </c>
      <c r="S1466" s="206" t="s">
        <v>175</v>
      </c>
      <c r="T1466" s="211">
        <v>0</v>
      </c>
      <c r="U1466" s="211">
        <v>0</v>
      </c>
      <c r="V1466" s="213">
        <v>0</v>
      </c>
      <c r="W1466" s="213">
        <v>0</v>
      </c>
    </row>
    <row r="1467" spans="1:23" ht="15" customHeight="1">
      <c r="G1467" s="26"/>
      <c r="H1467" s="26"/>
      <c r="I1467" s="26"/>
      <c r="J1467" s="26"/>
      <c r="K1467" s="26"/>
      <c r="L1467" s="26"/>
      <c r="M1467" s="26"/>
      <c r="N1467" s="26"/>
      <c r="P1467" s="202">
        <v>1451</v>
      </c>
      <c r="Q1467" s="210">
        <v>10</v>
      </c>
      <c r="R1467" s="205" t="s">
        <v>1175</v>
      </c>
      <c r="S1467" s="206" t="s">
        <v>244</v>
      </c>
      <c r="T1467" s="211">
        <v>0</v>
      </c>
      <c r="U1467" s="211">
        <v>0</v>
      </c>
      <c r="V1467" s="213">
        <v>0</v>
      </c>
      <c r="W1467" s="213">
        <v>0</v>
      </c>
    </row>
    <row r="1468" spans="1:23" s="72" customFormat="1" ht="15" customHeight="1">
      <c r="A1468" s="5" t="s">
        <v>2410</v>
      </c>
      <c r="B1468" s="5" t="s">
        <v>2317</v>
      </c>
      <c r="C1468" s="3"/>
      <c r="D1468" s="323" t="s">
        <v>2151</v>
      </c>
      <c r="E1468" s="323"/>
      <c r="F1468" s="324"/>
      <c r="G1468" s="325">
        <f>SUM(G1452:G1467)</f>
        <v>113085</v>
      </c>
      <c r="H1468" s="325">
        <f t="shared" ref="H1468:N1468" si="118">SUM(H1452:H1467)</f>
        <v>78926</v>
      </c>
      <c r="I1468" s="325">
        <f t="shared" si="118"/>
        <v>82772</v>
      </c>
      <c r="J1468" s="325">
        <f t="shared" si="118"/>
        <v>84972</v>
      </c>
      <c r="K1468" s="325">
        <f t="shared" si="118"/>
        <v>86774</v>
      </c>
      <c r="L1468" s="325">
        <f t="shared" si="118"/>
        <v>50887</v>
      </c>
      <c r="M1468" s="325">
        <f t="shared" si="118"/>
        <v>86874</v>
      </c>
      <c r="N1468" s="325">
        <f t="shared" si="118"/>
        <v>88963</v>
      </c>
      <c r="O1468" s="286"/>
      <c r="P1468" s="202">
        <v>1452</v>
      </c>
      <c r="Q1468" s="210">
        <v>10</v>
      </c>
      <c r="R1468" s="205" t="s">
        <v>2623</v>
      </c>
      <c r="S1468" s="206"/>
      <c r="T1468" s="211"/>
      <c r="U1468" s="211"/>
      <c r="V1468" s="213"/>
      <c r="W1468" s="213"/>
    </row>
    <row r="1469" spans="1:23" s="46" customFormat="1" ht="15" customHeight="1">
      <c r="A1469" s="2"/>
      <c r="B1469" s="2"/>
      <c r="C1469" s="3"/>
      <c r="D1469" s="47"/>
      <c r="E1469" s="47"/>
      <c r="F1469" s="191"/>
      <c r="G1469" s="48"/>
      <c r="H1469" s="48"/>
      <c r="I1469" s="48"/>
      <c r="J1469" s="48"/>
      <c r="K1469" s="48"/>
      <c r="L1469" s="48"/>
      <c r="M1469" s="48"/>
      <c r="N1469" s="48"/>
      <c r="O1469" s="289"/>
      <c r="P1469" s="202">
        <v>1453</v>
      </c>
      <c r="Q1469" s="210">
        <v>10</v>
      </c>
      <c r="R1469" s="205" t="s">
        <v>163</v>
      </c>
      <c r="S1469" s="206"/>
      <c r="T1469" s="211">
        <v>1900</v>
      </c>
      <c r="U1469" s="211">
        <v>44.56</v>
      </c>
      <c r="V1469" s="213">
        <v>753.34</v>
      </c>
      <c r="W1469" s="213">
        <v>0</v>
      </c>
    </row>
    <row r="1470" spans="1:23" ht="15" customHeight="1">
      <c r="D1470" s="47" t="s">
        <v>2152</v>
      </c>
      <c r="G1470" s="26"/>
      <c r="H1470" s="26"/>
      <c r="I1470" s="26"/>
      <c r="J1470" s="26"/>
      <c r="K1470" s="26"/>
      <c r="L1470" s="26"/>
      <c r="M1470" s="26"/>
      <c r="N1470" s="26"/>
      <c r="P1470" s="202">
        <v>1454</v>
      </c>
      <c r="Q1470" s="210">
        <v>10</v>
      </c>
      <c r="R1470" s="205" t="s">
        <v>245</v>
      </c>
      <c r="S1470" s="206"/>
      <c r="T1470" s="211"/>
      <c r="U1470" s="211"/>
      <c r="V1470" s="213"/>
      <c r="W1470" s="213"/>
    </row>
    <row r="1471" spans="1:23" ht="15" customHeight="1">
      <c r="G1471" s="26"/>
      <c r="H1471" s="26"/>
      <c r="I1471" s="26"/>
      <c r="J1471" s="26"/>
      <c r="K1471" s="26"/>
      <c r="L1471" s="26"/>
      <c r="M1471" s="26"/>
      <c r="N1471" s="26"/>
      <c r="O1471" s="293"/>
      <c r="P1471" s="202">
        <v>1455</v>
      </c>
      <c r="Q1471" s="210">
        <v>10</v>
      </c>
      <c r="R1471" s="205" t="s">
        <v>2628</v>
      </c>
      <c r="S1471" s="206"/>
      <c r="T1471" s="211"/>
      <c r="U1471" s="211"/>
      <c r="V1471" s="213"/>
      <c r="W1471" s="213"/>
    </row>
    <row r="1472" spans="1:23" ht="15" customHeight="1">
      <c r="C1472" s="3">
        <v>10</v>
      </c>
      <c r="D1472" s="15" t="s">
        <v>1093</v>
      </c>
      <c r="E1472" s="312" t="s">
        <v>115</v>
      </c>
      <c r="G1472" s="26">
        <v>319</v>
      </c>
      <c r="H1472" s="26">
        <v>237</v>
      </c>
      <c r="I1472" s="26">
        <v>175</v>
      </c>
      <c r="J1472" s="26">
        <v>197</v>
      </c>
      <c r="K1472" s="26">
        <v>250</v>
      </c>
      <c r="L1472" s="26">
        <v>522</v>
      </c>
      <c r="M1472" s="26">
        <v>750</v>
      </c>
      <c r="N1472" s="26">
        <v>750</v>
      </c>
      <c r="O1472" s="285"/>
      <c r="P1472" s="202">
        <v>1456</v>
      </c>
      <c r="Q1472" s="210">
        <v>10</v>
      </c>
      <c r="R1472" s="205" t="s">
        <v>1176</v>
      </c>
      <c r="S1472" s="206" t="s">
        <v>329</v>
      </c>
      <c r="T1472" s="211">
        <v>0</v>
      </c>
      <c r="U1472" s="211">
        <v>0</v>
      </c>
      <c r="V1472" s="213">
        <v>0</v>
      </c>
      <c r="W1472" s="213">
        <v>0</v>
      </c>
    </row>
    <row r="1473" spans="1:23" ht="15" customHeight="1">
      <c r="C1473" s="3">
        <v>10</v>
      </c>
      <c r="D1473" s="15" t="s">
        <v>1094</v>
      </c>
      <c r="E1473" s="312" t="s">
        <v>117</v>
      </c>
      <c r="G1473" s="26">
        <v>0</v>
      </c>
      <c r="H1473" s="26">
        <v>0</v>
      </c>
      <c r="I1473" s="26">
        <v>0</v>
      </c>
      <c r="J1473" s="26">
        <v>0</v>
      </c>
      <c r="K1473" s="26">
        <v>0</v>
      </c>
      <c r="L1473" s="26">
        <v>0</v>
      </c>
      <c r="M1473" s="26">
        <v>0</v>
      </c>
      <c r="N1473" s="26">
        <v>0</v>
      </c>
      <c r="O1473" s="285"/>
      <c r="P1473" s="202">
        <v>1457</v>
      </c>
      <c r="Q1473" s="210">
        <v>10</v>
      </c>
      <c r="R1473" s="205" t="s">
        <v>1177</v>
      </c>
      <c r="S1473" s="206" t="s">
        <v>165</v>
      </c>
      <c r="T1473" s="211">
        <v>0</v>
      </c>
      <c r="U1473" s="211">
        <v>0</v>
      </c>
      <c r="V1473" s="213">
        <v>404</v>
      </c>
      <c r="W1473" s="213">
        <v>0</v>
      </c>
    </row>
    <row r="1474" spans="1:23" ht="15" customHeight="1">
      <c r="C1474" s="3">
        <v>10</v>
      </c>
      <c r="D1474" s="15" t="s">
        <v>1095</v>
      </c>
      <c r="E1474" s="312" t="s">
        <v>119</v>
      </c>
      <c r="G1474" s="26">
        <v>103</v>
      </c>
      <c r="H1474" s="26">
        <v>24</v>
      </c>
      <c r="I1474" s="26">
        <v>14</v>
      </c>
      <c r="J1474" s="26">
        <v>108</v>
      </c>
      <c r="K1474" s="26">
        <v>25</v>
      </c>
      <c r="L1474" s="26">
        <v>74</v>
      </c>
      <c r="M1474" s="26">
        <v>125</v>
      </c>
      <c r="N1474" s="26">
        <v>175</v>
      </c>
      <c r="O1474" s="285"/>
      <c r="P1474" s="202">
        <v>1458</v>
      </c>
      <c r="Q1474" s="210">
        <v>10</v>
      </c>
      <c r="R1474" s="205" t="s">
        <v>1178</v>
      </c>
      <c r="S1474" s="206" t="s">
        <v>167</v>
      </c>
      <c r="T1474" s="211">
        <v>0</v>
      </c>
      <c r="U1474" s="211">
        <v>0</v>
      </c>
      <c r="V1474" s="213">
        <v>0</v>
      </c>
      <c r="W1474" s="213">
        <v>0</v>
      </c>
    </row>
    <row r="1475" spans="1:23" ht="15" customHeight="1">
      <c r="C1475" s="3">
        <v>10</v>
      </c>
      <c r="D1475" s="15" t="s">
        <v>1096</v>
      </c>
      <c r="E1475" s="312" t="s">
        <v>121</v>
      </c>
      <c r="G1475" s="26">
        <v>159</v>
      </c>
      <c r="H1475" s="26">
        <v>5</v>
      </c>
      <c r="I1475" s="26">
        <v>0</v>
      </c>
      <c r="J1475" s="26">
        <v>6</v>
      </c>
      <c r="K1475" s="26">
        <v>100</v>
      </c>
      <c r="L1475" s="26">
        <v>0</v>
      </c>
      <c r="M1475" s="26">
        <v>100</v>
      </c>
      <c r="N1475" s="26">
        <v>100</v>
      </c>
      <c r="O1475" s="285"/>
      <c r="P1475" s="202">
        <v>1459</v>
      </c>
      <c r="Q1475" s="210">
        <v>10</v>
      </c>
      <c r="R1475" s="205" t="s">
        <v>1179</v>
      </c>
      <c r="S1475" s="206" t="s">
        <v>247</v>
      </c>
      <c r="T1475" s="211">
        <v>0</v>
      </c>
      <c r="U1475" s="211">
        <v>0</v>
      </c>
      <c r="V1475" s="213">
        <v>0</v>
      </c>
      <c r="W1475" s="213">
        <v>0</v>
      </c>
    </row>
    <row r="1476" spans="1:23" ht="15" customHeight="1">
      <c r="C1476" s="3">
        <v>10</v>
      </c>
      <c r="D1476" s="15" t="s">
        <v>1097</v>
      </c>
      <c r="E1476" s="312" t="s">
        <v>123</v>
      </c>
      <c r="G1476" s="26">
        <v>0</v>
      </c>
      <c r="H1476" s="26">
        <v>0</v>
      </c>
      <c r="I1476" s="26">
        <v>21</v>
      </c>
      <c r="J1476" s="26">
        <v>152</v>
      </c>
      <c r="K1476" s="26">
        <v>0</v>
      </c>
      <c r="L1476" s="26">
        <v>0</v>
      </c>
      <c r="M1476" s="26">
        <v>260</v>
      </c>
      <c r="N1476" s="26">
        <v>260</v>
      </c>
      <c r="O1476" s="285"/>
      <c r="P1476" s="202">
        <v>1460</v>
      </c>
      <c r="Q1476" s="210">
        <v>10</v>
      </c>
      <c r="R1476" s="205" t="s">
        <v>1180</v>
      </c>
      <c r="S1476" s="206" t="s">
        <v>461</v>
      </c>
      <c r="T1476" s="211">
        <v>0</v>
      </c>
      <c r="U1476" s="211">
        <v>0</v>
      </c>
      <c r="V1476" s="213">
        <v>0</v>
      </c>
      <c r="W1476" s="213">
        <v>0</v>
      </c>
    </row>
    <row r="1477" spans="1:23" ht="15" customHeight="1">
      <c r="C1477" s="3">
        <v>10</v>
      </c>
      <c r="D1477" s="15" t="s">
        <v>1098</v>
      </c>
      <c r="E1477" s="312" t="s">
        <v>125</v>
      </c>
      <c r="G1477" s="26">
        <v>319</v>
      </c>
      <c r="H1477" s="26">
        <v>0</v>
      </c>
      <c r="I1477" s="26">
        <v>0</v>
      </c>
      <c r="J1477" s="26">
        <v>0</v>
      </c>
      <c r="K1477" s="26">
        <v>0</v>
      </c>
      <c r="L1477" s="26">
        <v>0</v>
      </c>
      <c r="M1477" s="26">
        <v>0</v>
      </c>
      <c r="N1477" s="26">
        <v>0</v>
      </c>
      <c r="O1477" s="285"/>
      <c r="P1477" s="202">
        <v>1461</v>
      </c>
      <c r="Q1477" s="210">
        <v>10</v>
      </c>
      <c r="R1477" s="205" t="s">
        <v>1181</v>
      </c>
      <c r="S1477" s="206" t="s">
        <v>382</v>
      </c>
      <c r="T1477" s="211">
        <v>0</v>
      </c>
      <c r="U1477" s="211">
        <v>0</v>
      </c>
      <c r="V1477" s="213">
        <v>0</v>
      </c>
      <c r="W1477" s="213">
        <v>0</v>
      </c>
    </row>
    <row r="1478" spans="1:23" ht="15" customHeight="1">
      <c r="C1478" s="3">
        <v>10</v>
      </c>
      <c r="D1478" s="15" t="s">
        <v>1099</v>
      </c>
      <c r="E1478" s="312" t="s">
        <v>106</v>
      </c>
      <c r="G1478" s="26">
        <v>0</v>
      </c>
      <c r="H1478" s="26">
        <v>0</v>
      </c>
      <c r="I1478" s="26">
        <v>0</v>
      </c>
      <c r="J1478" s="26">
        <v>0</v>
      </c>
      <c r="K1478" s="26">
        <v>0</v>
      </c>
      <c r="L1478" s="26">
        <v>0</v>
      </c>
      <c r="M1478" s="26">
        <v>0</v>
      </c>
      <c r="N1478" s="26">
        <v>0</v>
      </c>
      <c r="O1478" s="285"/>
      <c r="P1478" s="202">
        <v>1462</v>
      </c>
      <c r="Q1478" s="210">
        <v>10</v>
      </c>
      <c r="R1478" s="205" t="s">
        <v>1182</v>
      </c>
      <c r="S1478" s="206" t="s">
        <v>173</v>
      </c>
      <c r="T1478" s="211">
        <v>0</v>
      </c>
      <c r="U1478" s="211">
        <v>0</v>
      </c>
      <c r="V1478" s="213">
        <v>0</v>
      </c>
      <c r="W1478" s="213">
        <v>0</v>
      </c>
    </row>
    <row r="1479" spans="1:23" ht="15" customHeight="1">
      <c r="C1479" s="3">
        <v>10</v>
      </c>
      <c r="D1479" s="15" t="s">
        <v>1100</v>
      </c>
      <c r="E1479" s="312" t="s">
        <v>200</v>
      </c>
      <c r="G1479" s="26">
        <v>0</v>
      </c>
      <c r="H1479" s="26">
        <v>0</v>
      </c>
      <c r="I1479" s="26">
        <v>0</v>
      </c>
      <c r="J1479" s="26">
        <v>0</v>
      </c>
      <c r="K1479" s="26">
        <v>0</v>
      </c>
      <c r="L1479" s="26">
        <v>0</v>
      </c>
      <c r="M1479" s="26">
        <v>0</v>
      </c>
      <c r="N1479" s="26">
        <v>0</v>
      </c>
      <c r="O1479" s="285"/>
      <c r="P1479" s="202">
        <v>1463</v>
      </c>
      <c r="Q1479" s="210">
        <v>10</v>
      </c>
      <c r="R1479" s="205" t="s">
        <v>1183</v>
      </c>
      <c r="S1479" s="206" t="s">
        <v>244</v>
      </c>
      <c r="T1479" s="211">
        <v>0</v>
      </c>
      <c r="U1479" s="211">
        <v>0</v>
      </c>
      <c r="V1479" s="213">
        <v>0</v>
      </c>
      <c r="W1479" s="213">
        <v>0</v>
      </c>
    </row>
    <row r="1480" spans="1:23" ht="15" customHeight="1">
      <c r="C1480" s="3">
        <v>10</v>
      </c>
      <c r="D1480" s="15" t="s">
        <v>1101</v>
      </c>
      <c r="E1480" s="312" t="s">
        <v>132</v>
      </c>
      <c r="G1480" s="26">
        <v>0</v>
      </c>
      <c r="H1480" s="26">
        <v>104</v>
      </c>
      <c r="I1480" s="26">
        <v>159</v>
      </c>
      <c r="J1480" s="26">
        <v>120</v>
      </c>
      <c r="K1480" s="26">
        <v>150</v>
      </c>
      <c r="L1480" s="26">
        <v>55</v>
      </c>
      <c r="M1480" s="26">
        <v>150</v>
      </c>
      <c r="N1480" s="26">
        <v>150</v>
      </c>
      <c r="O1480" s="285"/>
      <c r="P1480" s="202">
        <v>1464</v>
      </c>
      <c r="Q1480" s="210">
        <v>10</v>
      </c>
      <c r="R1480" s="205" t="s">
        <v>2623</v>
      </c>
      <c r="S1480" s="206"/>
      <c r="T1480" s="211"/>
      <c r="U1480" s="211"/>
      <c r="V1480" s="213"/>
      <c r="W1480" s="213"/>
    </row>
    <row r="1481" spans="1:23" ht="15" customHeight="1">
      <c r="C1481" s="3">
        <v>10</v>
      </c>
      <c r="D1481" s="15" t="s">
        <v>1102</v>
      </c>
      <c r="E1481" s="312" t="s">
        <v>134</v>
      </c>
      <c r="G1481" s="26">
        <v>0</v>
      </c>
      <c r="H1481" s="26">
        <v>0</v>
      </c>
      <c r="I1481" s="26">
        <v>0</v>
      </c>
      <c r="J1481" s="26">
        <v>0</v>
      </c>
      <c r="K1481" s="26">
        <v>0</v>
      </c>
      <c r="L1481" s="26">
        <v>0</v>
      </c>
      <c r="M1481" s="26">
        <v>0</v>
      </c>
      <c r="N1481" s="26">
        <v>0</v>
      </c>
      <c r="O1481" s="285"/>
      <c r="P1481" s="202">
        <v>1465</v>
      </c>
      <c r="Q1481" s="210">
        <v>10</v>
      </c>
      <c r="R1481" s="205" t="s">
        <v>245</v>
      </c>
      <c r="S1481" s="206"/>
      <c r="T1481" s="211">
        <v>0</v>
      </c>
      <c r="U1481" s="211">
        <v>0</v>
      </c>
      <c r="V1481" s="213">
        <v>404</v>
      </c>
      <c r="W1481" s="213">
        <v>0</v>
      </c>
    </row>
    <row r="1482" spans="1:23" ht="15" customHeight="1">
      <c r="G1482" s="26"/>
      <c r="H1482" s="26"/>
      <c r="I1482" s="26"/>
      <c r="J1482" s="26"/>
      <c r="K1482" s="26"/>
      <c r="L1482" s="26"/>
      <c r="M1482" s="26"/>
      <c r="N1482" s="26"/>
      <c r="P1482" s="202">
        <v>1466</v>
      </c>
      <c r="Q1482" s="210">
        <v>10</v>
      </c>
      <c r="R1482" s="205" t="s">
        <v>2623</v>
      </c>
      <c r="S1482" s="206"/>
      <c r="T1482" s="211"/>
      <c r="U1482" s="211"/>
      <c r="V1482" s="213"/>
      <c r="W1482" s="213"/>
    </row>
    <row r="1483" spans="1:23" s="200" customFormat="1" ht="15" customHeight="1">
      <c r="A1483" s="196" t="s">
        <v>104</v>
      </c>
      <c r="B1483" s="196" t="s">
        <v>2317</v>
      </c>
      <c r="C1483" s="75"/>
      <c r="D1483" s="323" t="s">
        <v>2153</v>
      </c>
      <c r="E1483" s="323"/>
      <c r="F1483" s="324"/>
      <c r="G1483" s="325">
        <f>SUM(G1470:G1482)</f>
        <v>900</v>
      </c>
      <c r="H1483" s="325">
        <f t="shared" ref="H1483:N1483" si="119">SUM(H1470:H1482)</f>
        <v>370</v>
      </c>
      <c r="I1483" s="325">
        <f t="shared" si="119"/>
        <v>369</v>
      </c>
      <c r="J1483" s="325">
        <f t="shared" si="119"/>
        <v>583</v>
      </c>
      <c r="K1483" s="325">
        <f t="shared" si="119"/>
        <v>525</v>
      </c>
      <c r="L1483" s="325">
        <f t="shared" si="119"/>
        <v>651</v>
      </c>
      <c r="M1483" s="325">
        <f t="shared" si="119"/>
        <v>1385</v>
      </c>
      <c r="N1483" s="325">
        <f t="shared" si="119"/>
        <v>1435</v>
      </c>
      <c r="O1483" s="287"/>
      <c r="P1483" s="202">
        <v>1467</v>
      </c>
      <c r="Q1483" s="210">
        <v>10</v>
      </c>
      <c r="R1483" s="205" t="s">
        <v>2617</v>
      </c>
      <c r="S1483" s="206"/>
      <c r="T1483" s="211">
        <v>199586</v>
      </c>
      <c r="U1483" s="211">
        <v>18719.060000000001</v>
      </c>
      <c r="V1483" s="213">
        <v>117580.84</v>
      </c>
      <c r="W1483" s="213">
        <v>58.91</v>
      </c>
    </row>
    <row r="1484" spans="1:23" s="46" customFormat="1" ht="15" customHeight="1">
      <c r="A1484" s="2"/>
      <c r="B1484" s="2"/>
      <c r="C1484" s="3"/>
      <c r="D1484" s="47"/>
      <c r="E1484" s="47"/>
      <c r="F1484" s="191"/>
      <c r="G1484" s="48"/>
      <c r="H1484" s="48"/>
      <c r="I1484" s="48"/>
      <c r="J1484" s="48"/>
      <c r="K1484" s="48"/>
      <c r="L1484" s="48"/>
      <c r="M1484" s="48"/>
      <c r="N1484" s="48"/>
      <c r="O1484" s="289"/>
      <c r="P1484" s="202">
        <v>1468</v>
      </c>
      <c r="Q1484" s="210">
        <v>10</v>
      </c>
      <c r="R1484" s="205" t="s">
        <v>2621</v>
      </c>
      <c r="S1484" s="206"/>
      <c r="T1484" s="211"/>
      <c r="U1484" s="211"/>
      <c r="V1484" s="213"/>
      <c r="W1484" s="213"/>
    </row>
    <row r="1485" spans="1:23" ht="15" customHeight="1">
      <c r="D1485" s="47" t="s">
        <v>2154</v>
      </c>
      <c r="G1485" s="26"/>
      <c r="H1485" s="26"/>
      <c r="I1485" s="26"/>
      <c r="J1485" s="26"/>
      <c r="K1485" s="26"/>
      <c r="L1485" s="26"/>
      <c r="M1485" s="26"/>
      <c r="N1485" s="26"/>
      <c r="P1485" s="202">
        <v>1469</v>
      </c>
      <c r="Q1485" s="210">
        <v>10</v>
      </c>
      <c r="R1485" s="205" t="s">
        <v>2622</v>
      </c>
      <c r="S1485" s="206"/>
      <c r="T1485" s="211"/>
      <c r="U1485" s="211"/>
      <c r="V1485" s="213"/>
      <c r="W1485" s="213"/>
    </row>
    <row r="1486" spans="1:23" ht="15" customHeight="1">
      <c r="G1486" s="26"/>
      <c r="H1486" s="26"/>
      <c r="I1486" s="26"/>
      <c r="J1486" s="26"/>
      <c r="K1486" s="26"/>
      <c r="L1486" s="26"/>
      <c r="M1486" s="26"/>
      <c r="N1486" s="26"/>
      <c r="P1486" s="202">
        <v>1470</v>
      </c>
      <c r="Q1486" s="210">
        <v>10</v>
      </c>
      <c r="R1486" s="205" t="s">
        <v>1184</v>
      </c>
      <c r="S1486" s="206" t="s">
        <v>79</v>
      </c>
      <c r="T1486" s="211">
        <v>28846</v>
      </c>
      <c r="U1486" s="211">
        <v>2448</v>
      </c>
      <c r="V1486" s="213">
        <v>19584</v>
      </c>
      <c r="W1486" s="213">
        <v>67.89</v>
      </c>
    </row>
    <row r="1487" spans="1:23" ht="15" customHeight="1">
      <c r="C1487" s="3">
        <v>10</v>
      </c>
      <c r="D1487" s="15" t="s">
        <v>1103</v>
      </c>
      <c r="E1487" s="312" t="s">
        <v>137</v>
      </c>
      <c r="G1487" s="26">
        <v>477</v>
      </c>
      <c r="H1487" s="26">
        <v>531</v>
      </c>
      <c r="I1487" s="26">
        <v>482</v>
      </c>
      <c r="J1487" s="26">
        <v>640</v>
      </c>
      <c r="K1487" s="26">
        <v>700</v>
      </c>
      <c r="L1487" s="26">
        <v>437</v>
      </c>
      <c r="M1487" s="26">
        <v>850</v>
      </c>
      <c r="N1487" s="26">
        <v>850</v>
      </c>
      <c r="O1487" s="285"/>
      <c r="P1487" s="202">
        <v>1471</v>
      </c>
      <c r="Q1487" s="210">
        <v>10</v>
      </c>
      <c r="R1487" s="205" t="s">
        <v>1185</v>
      </c>
      <c r="S1487" s="206" t="s">
        <v>81</v>
      </c>
      <c r="T1487" s="211">
        <v>6659</v>
      </c>
      <c r="U1487" s="211">
        <v>436.24</v>
      </c>
      <c r="V1487" s="213">
        <v>3735.66</v>
      </c>
      <c r="W1487" s="213">
        <v>56.1</v>
      </c>
    </row>
    <row r="1488" spans="1:23" ht="15" customHeight="1">
      <c r="C1488" s="3">
        <v>10</v>
      </c>
      <c r="D1488" s="15" t="s">
        <v>1104</v>
      </c>
      <c r="E1488" s="312" t="s">
        <v>216</v>
      </c>
      <c r="G1488" s="26">
        <v>0</v>
      </c>
      <c r="H1488" s="26">
        <v>0</v>
      </c>
      <c r="I1488" s="26">
        <v>0</v>
      </c>
      <c r="J1488" s="26">
        <v>0</v>
      </c>
      <c r="K1488" s="26">
        <v>0</v>
      </c>
      <c r="L1488" s="26">
        <v>0</v>
      </c>
      <c r="M1488" s="26">
        <v>0</v>
      </c>
      <c r="N1488" s="26">
        <v>0</v>
      </c>
      <c r="O1488" s="285"/>
      <c r="P1488" s="202">
        <v>1472</v>
      </c>
      <c r="Q1488" s="210">
        <v>10</v>
      </c>
      <c r="R1488" s="205" t="s">
        <v>1186</v>
      </c>
      <c r="S1488" s="206" t="s">
        <v>83</v>
      </c>
      <c r="T1488" s="211">
        <v>0</v>
      </c>
      <c r="U1488" s="211">
        <v>0</v>
      </c>
      <c r="V1488" s="213">
        <v>0</v>
      </c>
      <c r="W1488" s="213">
        <v>0</v>
      </c>
    </row>
    <row r="1489" spans="1:23" ht="15" customHeight="1">
      <c r="C1489" s="3">
        <v>10</v>
      </c>
      <c r="D1489" s="15" t="s">
        <v>1105</v>
      </c>
      <c r="E1489" s="312" t="s">
        <v>139</v>
      </c>
      <c r="G1489" s="26">
        <v>10146</v>
      </c>
      <c r="H1489" s="26">
        <v>10086</v>
      </c>
      <c r="I1489" s="26">
        <v>27203</v>
      </c>
      <c r="J1489" s="26">
        <v>17625</v>
      </c>
      <c r="K1489" s="26">
        <v>25000</v>
      </c>
      <c r="L1489" s="26">
        <v>25000</v>
      </c>
      <c r="M1489" s="26">
        <v>25000</v>
      </c>
      <c r="N1489" s="26">
        <v>25000</v>
      </c>
      <c r="O1489" s="285"/>
      <c r="P1489" s="202">
        <v>1473</v>
      </c>
      <c r="Q1489" s="210">
        <v>10</v>
      </c>
      <c r="R1489" s="205" t="s">
        <v>1187</v>
      </c>
      <c r="S1489" s="206" t="s">
        <v>85</v>
      </c>
      <c r="T1489" s="211">
        <v>275</v>
      </c>
      <c r="U1489" s="211">
        <v>0</v>
      </c>
      <c r="V1489" s="213">
        <v>244.6</v>
      </c>
      <c r="W1489" s="213">
        <v>88.95</v>
      </c>
    </row>
    <row r="1490" spans="1:23" ht="15" customHeight="1">
      <c r="C1490" s="3">
        <v>10</v>
      </c>
      <c r="D1490" s="15" t="s">
        <v>1106</v>
      </c>
      <c r="E1490" s="312" t="s">
        <v>141</v>
      </c>
      <c r="G1490" s="26">
        <v>0</v>
      </c>
      <c r="H1490" s="26">
        <v>0</v>
      </c>
      <c r="I1490" s="26">
        <v>0</v>
      </c>
      <c r="J1490" s="26">
        <v>0</v>
      </c>
      <c r="K1490" s="26">
        <v>0</v>
      </c>
      <c r="L1490" s="26">
        <v>0</v>
      </c>
      <c r="M1490" s="26">
        <v>0</v>
      </c>
      <c r="N1490" s="26">
        <v>0</v>
      </c>
      <c r="O1490" s="285"/>
      <c r="P1490" s="202">
        <v>1474</v>
      </c>
      <c r="Q1490" s="210">
        <v>10</v>
      </c>
      <c r="R1490" s="205" t="s">
        <v>1188</v>
      </c>
      <c r="S1490" s="206" t="s">
        <v>87</v>
      </c>
      <c r="T1490" s="211">
        <v>2212</v>
      </c>
      <c r="U1490" s="211">
        <v>156.55000000000001</v>
      </c>
      <c r="V1490" s="213">
        <v>1228.82</v>
      </c>
      <c r="W1490" s="213">
        <v>55.55</v>
      </c>
    </row>
    <row r="1491" spans="1:23" ht="15" customHeight="1">
      <c r="C1491" s="3">
        <v>10</v>
      </c>
      <c r="D1491" s="15" t="s">
        <v>1107</v>
      </c>
      <c r="E1491" s="312" t="s">
        <v>145</v>
      </c>
      <c r="G1491" s="26">
        <v>0</v>
      </c>
      <c r="H1491" s="26">
        <v>0</v>
      </c>
      <c r="I1491" s="26">
        <v>0</v>
      </c>
      <c r="J1491" s="26">
        <v>0</v>
      </c>
      <c r="K1491" s="26">
        <v>0</v>
      </c>
      <c r="L1491" s="26">
        <v>0</v>
      </c>
      <c r="M1491" s="26">
        <v>0</v>
      </c>
      <c r="N1491" s="26">
        <v>0</v>
      </c>
      <c r="O1491" s="285"/>
      <c r="P1491" s="202">
        <v>1475</v>
      </c>
      <c r="Q1491" s="210">
        <v>10</v>
      </c>
      <c r="R1491" s="205" t="s">
        <v>1189</v>
      </c>
      <c r="S1491" s="206" t="s">
        <v>89</v>
      </c>
      <c r="T1491" s="211">
        <v>4633</v>
      </c>
      <c r="U1491" s="211">
        <v>384.72</v>
      </c>
      <c r="V1491" s="213">
        <v>3004.17</v>
      </c>
      <c r="W1491" s="213">
        <v>64.84</v>
      </c>
    </row>
    <row r="1492" spans="1:23" ht="15" customHeight="1">
      <c r="C1492" s="3">
        <v>10</v>
      </c>
      <c r="D1492" s="15" t="s">
        <v>1108</v>
      </c>
      <c r="E1492" s="312" t="s">
        <v>147</v>
      </c>
      <c r="G1492" s="26">
        <v>4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85"/>
      <c r="P1492" s="202">
        <v>1476</v>
      </c>
      <c r="Q1492" s="210">
        <v>10</v>
      </c>
      <c r="R1492" s="205" t="s">
        <v>1190</v>
      </c>
      <c r="S1492" s="206" t="s">
        <v>91</v>
      </c>
      <c r="T1492" s="211">
        <v>0</v>
      </c>
      <c r="U1492" s="211">
        <v>42.64</v>
      </c>
      <c r="V1492" s="213">
        <v>234.52</v>
      </c>
      <c r="W1492" s="213">
        <v>0</v>
      </c>
    </row>
    <row r="1493" spans="1:23" ht="15" customHeight="1">
      <c r="C1493" s="3">
        <v>10</v>
      </c>
      <c r="D1493" s="15" t="s">
        <v>1109</v>
      </c>
      <c r="E1493" s="312" t="s">
        <v>151</v>
      </c>
      <c r="G1493" s="26">
        <v>170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85"/>
      <c r="P1493" s="202">
        <v>1477</v>
      </c>
      <c r="Q1493" s="210">
        <v>10</v>
      </c>
      <c r="R1493" s="205" t="s">
        <v>1191</v>
      </c>
      <c r="S1493" s="206" t="s">
        <v>93</v>
      </c>
      <c r="T1493" s="211">
        <v>0</v>
      </c>
      <c r="U1493" s="211">
        <v>0</v>
      </c>
      <c r="V1493" s="213">
        <v>0</v>
      </c>
      <c r="W1493" s="213">
        <v>0</v>
      </c>
    </row>
    <row r="1494" spans="1:23" ht="15" customHeight="1">
      <c r="C1494" s="3">
        <v>10</v>
      </c>
      <c r="D1494" s="15" t="s">
        <v>1110</v>
      </c>
      <c r="E1494" s="312" t="s">
        <v>153</v>
      </c>
      <c r="G1494" s="26">
        <v>1186</v>
      </c>
      <c r="H1494" s="26">
        <v>500</v>
      </c>
      <c r="I1494" s="26">
        <v>1668</v>
      </c>
      <c r="J1494" s="26">
        <v>1053</v>
      </c>
      <c r="K1494" s="26">
        <v>1100</v>
      </c>
      <c r="L1494" s="26">
        <v>455</v>
      </c>
      <c r="M1494" s="26">
        <v>910</v>
      </c>
      <c r="N1494" s="26">
        <v>940</v>
      </c>
      <c r="O1494" s="285"/>
      <c r="P1494" s="202">
        <v>1478</v>
      </c>
      <c r="Q1494" s="210">
        <v>10</v>
      </c>
      <c r="R1494" s="205" t="s">
        <v>1192</v>
      </c>
      <c r="S1494" s="206" t="s">
        <v>95</v>
      </c>
      <c r="T1494" s="211">
        <v>0</v>
      </c>
      <c r="U1494" s="211">
        <v>0</v>
      </c>
      <c r="V1494" s="213">
        <v>0</v>
      </c>
      <c r="W1494" s="213">
        <v>0</v>
      </c>
    </row>
    <row r="1495" spans="1:23" ht="15" customHeight="1">
      <c r="C1495" s="3">
        <v>10</v>
      </c>
      <c r="D1495" s="15" t="s">
        <v>1111</v>
      </c>
      <c r="E1495" s="312" t="s">
        <v>155</v>
      </c>
      <c r="G1495" s="26">
        <v>0</v>
      </c>
      <c r="H1495" s="26">
        <v>0</v>
      </c>
      <c r="I1495" s="26">
        <v>0</v>
      </c>
      <c r="J1495" s="26">
        <v>0</v>
      </c>
      <c r="K1495" s="26">
        <v>0</v>
      </c>
      <c r="L1495" s="26">
        <v>0</v>
      </c>
      <c r="M1495" s="26">
        <v>0</v>
      </c>
      <c r="N1495" s="26">
        <v>0</v>
      </c>
      <c r="O1495" s="285"/>
      <c r="P1495" s="202">
        <v>1479</v>
      </c>
      <c r="Q1495" s="210">
        <v>10</v>
      </c>
      <c r="R1495" s="205" t="s">
        <v>1193</v>
      </c>
      <c r="S1495" s="206" t="s">
        <v>97</v>
      </c>
      <c r="T1495" s="211">
        <v>16</v>
      </c>
      <c r="U1495" s="211">
        <v>16</v>
      </c>
      <c r="V1495" s="213">
        <v>128</v>
      </c>
      <c r="W1495" s="213">
        <v>800</v>
      </c>
    </row>
    <row r="1496" spans="1:23" ht="15" customHeight="1">
      <c r="C1496" s="3">
        <v>10</v>
      </c>
      <c r="D1496" s="15" t="s">
        <v>1112</v>
      </c>
      <c r="E1496" s="312" t="s">
        <v>157</v>
      </c>
      <c r="G1496" s="26">
        <v>0</v>
      </c>
      <c r="H1496" s="26">
        <v>0</v>
      </c>
      <c r="I1496" s="26">
        <v>0</v>
      </c>
      <c r="J1496" s="26">
        <v>0</v>
      </c>
      <c r="K1496" s="26">
        <v>0</v>
      </c>
      <c r="L1496" s="26">
        <v>0</v>
      </c>
      <c r="M1496" s="26">
        <v>15</v>
      </c>
      <c r="N1496" s="26">
        <v>20</v>
      </c>
      <c r="O1496" s="285"/>
      <c r="P1496" s="202">
        <v>1480</v>
      </c>
      <c r="Q1496" s="210">
        <v>10</v>
      </c>
      <c r="R1496" s="205" t="s">
        <v>1194</v>
      </c>
      <c r="S1496" s="206" t="s">
        <v>99</v>
      </c>
      <c r="T1496" s="211">
        <v>59</v>
      </c>
      <c r="U1496" s="211">
        <v>0</v>
      </c>
      <c r="V1496" s="213">
        <v>57.24</v>
      </c>
      <c r="W1496" s="213">
        <v>97.02</v>
      </c>
    </row>
    <row r="1497" spans="1:23" ht="15" customHeight="1">
      <c r="C1497" s="3">
        <v>10</v>
      </c>
      <c r="D1497" s="15" t="s">
        <v>1113</v>
      </c>
      <c r="E1497" s="312" t="s">
        <v>159</v>
      </c>
      <c r="G1497" s="26">
        <v>0</v>
      </c>
      <c r="H1497" s="26">
        <v>0</v>
      </c>
      <c r="I1497" s="26">
        <v>0</v>
      </c>
      <c r="J1497" s="26">
        <v>0</v>
      </c>
      <c r="K1497" s="26">
        <v>0</v>
      </c>
      <c r="L1497" s="26">
        <v>0</v>
      </c>
      <c r="M1497" s="26">
        <v>0</v>
      </c>
      <c r="N1497" s="26">
        <v>0</v>
      </c>
      <c r="O1497" s="285"/>
      <c r="P1497" s="202">
        <v>1481</v>
      </c>
      <c r="Q1497" s="210">
        <v>10</v>
      </c>
      <c r="R1497" s="205" t="s">
        <v>1195</v>
      </c>
      <c r="S1497" s="206" t="s">
        <v>101</v>
      </c>
      <c r="T1497" s="211">
        <v>0</v>
      </c>
      <c r="U1497" s="211">
        <v>0</v>
      </c>
      <c r="V1497" s="213">
        <v>0</v>
      </c>
      <c r="W1497" s="213">
        <v>0</v>
      </c>
    </row>
    <row r="1498" spans="1:23" ht="15" customHeight="1">
      <c r="C1498" s="3">
        <v>10</v>
      </c>
      <c r="D1498" s="15" t="s">
        <v>1114</v>
      </c>
      <c r="E1498" s="312" t="s">
        <v>229</v>
      </c>
      <c r="G1498" s="26">
        <v>0</v>
      </c>
      <c r="H1498" s="26">
        <v>0</v>
      </c>
      <c r="I1498" s="26">
        <v>0</v>
      </c>
      <c r="J1498" s="26">
        <v>0</v>
      </c>
      <c r="K1498" s="26">
        <v>0</v>
      </c>
      <c r="L1498" s="26">
        <v>0</v>
      </c>
      <c r="M1498" s="26">
        <v>0</v>
      </c>
      <c r="N1498" s="26">
        <v>0</v>
      </c>
      <c r="O1498" s="285"/>
      <c r="P1498" s="202">
        <v>1482</v>
      </c>
      <c r="Q1498" s="210">
        <v>10</v>
      </c>
      <c r="R1498" s="205" t="s">
        <v>1196</v>
      </c>
      <c r="S1498" s="206" t="s">
        <v>103</v>
      </c>
      <c r="T1498" s="211">
        <v>0</v>
      </c>
      <c r="U1498" s="211">
        <v>0</v>
      </c>
      <c r="V1498" s="213">
        <v>0</v>
      </c>
      <c r="W1498" s="213">
        <v>0</v>
      </c>
    </row>
    <row r="1499" spans="1:23" ht="15" customHeight="1">
      <c r="C1499" s="3">
        <v>10</v>
      </c>
      <c r="D1499" s="15" t="s">
        <v>1115</v>
      </c>
      <c r="E1499" s="312" t="s">
        <v>162</v>
      </c>
      <c r="G1499" s="26">
        <v>487</v>
      </c>
      <c r="H1499" s="26">
        <v>0</v>
      </c>
      <c r="I1499" s="26">
        <v>21</v>
      </c>
      <c r="J1499" s="26">
        <v>0</v>
      </c>
      <c r="K1499" s="26">
        <v>0</v>
      </c>
      <c r="L1499" s="26">
        <v>64</v>
      </c>
      <c r="M1499" s="26">
        <v>63.6</v>
      </c>
      <c r="N1499" s="26">
        <v>75</v>
      </c>
      <c r="O1499" s="285"/>
      <c r="P1499" s="202">
        <v>1483</v>
      </c>
      <c r="Q1499" s="210">
        <v>10</v>
      </c>
      <c r="R1499" s="205" t="s">
        <v>2623</v>
      </c>
      <c r="S1499" s="206"/>
      <c r="T1499" s="211"/>
      <c r="U1499" s="211"/>
      <c r="V1499" s="213"/>
      <c r="W1499" s="213"/>
    </row>
    <row r="1500" spans="1:23" ht="15" customHeight="1">
      <c r="G1500" s="26"/>
      <c r="H1500" s="26"/>
      <c r="I1500" s="26"/>
      <c r="J1500" s="26"/>
      <c r="K1500" s="26"/>
      <c r="L1500" s="26"/>
      <c r="M1500" s="26"/>
      <c r="N1500" s="26"/>
      <c r="O1500" s="293"/>
      <c r="P1500" s="202">
        <v>1484</v>
      </c>
      <c r="Q1500" s="210">
        <v>10</v>
      </c>
      <c r="R1500" s="205" t="s">
        <v>2621</v>
      </c>
      <c r="S1500" s="206"/>
      <c r="T1500" s="211">
        <v>42700</v>
      </c>
      <c r="U1500" s="211">
        <v>3484.15</v>
      </c>
      <c r="V1500" s="213">
        <v>28217.01</v>
      </c>
      <c r="W1500" s="213">
        <v>0</v>
      </c>
    </row>
    <row r="1501" spans="1:23" s="22" customFormat="1" ht="15" customHeight="1">
      <c r="A1501" s="2" t="s">
        <v>135</v>
      </c>
      <c r="B1501" s="2" t="s">
        <v>2317</v>
      </c>
      <c r="C1501" s="3"/>
      <c r="D1501" s="323" t="s">
        <v>2155</v>
      </c>
      <c r="E1501" s="323"/>
      <c r="F1501" s="324"/>
      <c r="G1501" s="325">
        <f>SUM(G1485:G1500)</f>
        <v>12470</v>
      </c>
      <c r="H1501" s="325">
        <f t="shared" ref="H1501:N1501" si="120">SUM(H1485:H1500)</f>
        <v>11117</v>
      </c>
      <c r="I1501" s="325">
        <f t="shared" si="120"/>
        <v>29374</v>
      </c>
      <c r="J1501" s="325">
        <f t="shared" si="120"/>
        <v>19318</v>
      </c>
      <c r="K1501" s="325">
        <f t="shared" si="120"/>
        <v>26800</v>
      </c>
      <c r="L1501" s="325">
        <f t="shared" si="120"/>
        <v>25956</v>
      </c>
      <c r="M1501" s="325">
        <f t="shared" si="120"/>
        <v>26838.6</v>
      </c>
      <c r="N1501" s="325">
        <f t="shared" si="120"/>
        <v>26885</v>
      </c>
      <c r="O1501" s="290"/>
      <c r="P1501" s="202">
        <v>1485</v>
      </c>
      <c r="Q1501" s="210">
        <v>10</v>
      </c>
      <c r="R1501" s="205" t="s">
        <v>104</v>
      </c>
      <c r="S1501" s="206"/>
      <c r="T1501" s="211"/>
      <c r="U1501" s="211"/>
      <c r="V1501" s="213"/>
      <c r="W1501" s="213"/>
    </row>
    <row r="1502" spans="1:23" s="46" customFormat="1" ht="15" customHeight="1">
      <c r="A1502" s="2"/>
      <c r="B1502" s="2"/>
      <c r="C1502" s="3"/>
      <c r="D1502" s="47"/>
      <c r="E1502" s="47"/>
      <c r="F1502" s="191"/>
      <c r="G1502" s="48"/>
      <c r="H1502" s="48"/>
      <c r="I1502" s="48"/>
      <c r="J1502" s="48"/>
      <c r="K1502" s="48"/>
      <c r="L1502" s="48"/>
      <c r="M1502" s="48"/>
      <c r="N1502" s="48"/>
      <c r="O1502" s="289"/>
      <c r="P1502" s="202">
        <v>1486</v>
      </c>
      <c r="Q1502" s="210">
        <v>10</v>
      </c>
      <c r="R1502" s="205" t="s">
        <v>2624</v>
      </c>
      <c r="S1502" s="206"/>
      <c r="T1502" s="211"/>
      <c r="U1502" s="211"/>
      <c r="V1502" s="213"/>
      <c r="W1502" s="213"/>
    </row>
    <row r="1503" spans="1:23" ht="15" customHeight="1">
      <c r="D1503" s="47" t="s">
        <v>2156</v>
      </c>
      <c r="G1503" s="26"/>
      <c r="H1503" s="26"/>
      <c r="I1503" s="26"/>
      <c r="J1503" s="26"/>
      <c r="K1503" s="26"/>
      <c r="L1503" s="26"/>
      <c r="M1503" s="26"/>
      <c r="N1503" s="26"/>
      <c r="P1503" s="202">
        <v>1487</v>
      </c>
      <c r="Q1503" s="210">
        <v>10</v>
      </c>
      <c r="R1503" s="205" t="s">
        <v>1197</v>
      </c>
      <c r="S1503" s="206" t="s">
        <v>115</v>
      </c>
      <c r="T1503" s="211">
        <v>0</v>
      </c>
      <c r="U1503" s="211">
        <v>0</v>
      </c>
      <c r="V1503" s="213">
        <v>8.94</v>
      </c>
      <c r="W1503" s="213">
        <v>0</v>
      </c>
    </row>
    <row r="1504" spans="1:23" ht="15" customHeight="1">
      <c r="G1504" s="26"/>
      <c r="H1504" s="26"/>
      <c r="I1504" s="26"/>
      <c r="J1504" s="26"/>
      <c r="K1504" s="26"/>
      <c r="L1504" s="26"/>
      <c r="M1504" s="26"/>
      <c r="N1504" s="26"/>
      <c r="P1504" s="202">
        <v>1488</v>
      </c>
      <c r="Q1504" s="210">
        <v>10</v>
      </c>
      <c r="R1504" s="205" t="s">
        <v>1198</v>
      </c>
      <c r="S1504" s="206" t="s">
        <v>117</v>
      </c>
      <c r="T1504" s="211">
        <v>115</v>
      </c>
      <c r="U1504" s="211">
        <v>26.17</v>
      </c>
      <c r="V1504" s="213">
        <v>95.62</v>
      </c>
      <c r="W1504" s="213">
        <v>83.15</v>
      </c>
    </row>
    <row r="1505" spans="1:23" ht="15" customHeight="1">
      <c r="C1505" s="3">
        <v>10</v>
      </c>
      <c r="D1505" s="15" t="s">
        <v>1116</v>
      </c>
      <c r="E1505" s="312" t="s">
        <v>329</v>
      </c>
      <c r="G1505" s="26">
        <v>0</v>
      </c>
      <c r="H1505" s="26">
        <v>0</v>
      </c>
      <c r="I1505" s="26">
        <v>0</v>
      </c>
      <c r="J1505" s="26">
        <v>0</v>
      </c>
      <c r="K1505" s="26">
        <v>0</v>
      </c>
      <c r="L1505" s="26">
        <v>0</v>
      </c>
      <c r="M1505" s="26">
        <v>0</v>
      </c>
      <c r="N1505" s="26">
        <v>0</v>
      </c>
      <c r="O1505" s="285"/>
      <c r="P1505" s="202">
        <v>1489</v>
      </c>
      <c r="Q1505" s="210">
        <v>10</v>
      </c>
      <c r="R1505" s="205" t="s">
        <v>1199</v>
      </c>
      <c r="S1505" s="206" t="s">
        <v>119</v>
      </c>
      <c r="T1505" s="211">
        <v>0</v>
      </c>
      <c r="U1505" s="211">
        <v>0</v>
      </c>
      <c r="V1505" s="213">
        <v>0</v>
      </c>
      <c r="W1505" s="213">
        <v>0</v>
      </c>
    </row>
    <row r="1506" spans="1:23" ht="15" customHeight="1">
      <c r="C1506" s="3">
        <v>10</v>
      </c>
      <c r="D1506" s="15" t="s">
        <v>1117</v>
      </c>
      <c r="E1506" s="312" t="s">
        <v>165</v>
      </c>
      <c r="G1506" s="26">
        <v>0</v>
      </c>
      <c r="H1506" s="26">
        <v>0</v>
      </c>
      <c r="I1506" s="26">
        <v>0</v>
      </c>
      <c r="J1506" s="26">
        <v>0</v>
      </c>
      <c r="K1506" s="26">
        <v>0</v>
      </c>
      <c r="L1506" s="26">
        <v>0</v>
      </c>
      <c r="M1506" s="26">
        <v>0</v>
      </c>
      <c r="N1506" s="26">
        <v>0</v>
      </c>
      <c r="O1506" s="285"/>
      <c r="P1506" s="202">
        <v>1490</v>
      </c>
      <c r="Q1506" s="210">
        <v>10</v>
      </c>
      <c r="R1506" s="205" t="s">
        <v>1200</v>
      </c>
      <c r="S1506" s="206" t="s">
        <v>121</v>
      </c>
      <c r="T1506" s="211">
        <v>196</v>
      </c>
      <c r="U1506" s="211">
        <v>0</v>
      </c>
      <c r="V1506" s="213">
        <v>0</v>
      </c>
      <c r="W1506" s="213">
        <v>0</v>
      </c>
    </row>
    <row r="1507" spans="1:23" ht="15" customHeight="1">
      <c r="C1507" s="3">
        <v>10</v>
      </c>
      <c r="D1507" s="15" t="s">
        <v>1118</v>
      </c>
      <c r="E1507" s="312" t="s">
        <v>167</v>
      </c>
      <c r="G1507" s="26">
        <v>0</v>
      </c>
      <c r="H1507" s="26">
        <v>0</v>
      </c>
      <c r="I1507" s="26">
        <v>0</v>
      </c>
      <c r="J1507" s="26">
        <v>0</v>
      </c>
      <c r="K1507" s="26">
        <v>0</v>
      </c>
      <c r="L1507" s="26">
        <v>0</v>
      </c>
      <c r="M1507" s="26">
        <v>0</v>
      </c>
      <c r="N1507" s="26">
        <v>0</v>
      </c>
      <c r="O1507" s="285"/>
      <c r="P1507" s="202">
        <v>1491</v>
      </c>
      <c r="Q1507" s="210">
        <v>10</v>
      </c>
      <c r="R1507" s="205" t="s">
        <v>1201</v>
      </c>
      <c r="S1507" s="206" t="s">
        <v>123</v>
      </c>
      <c r="T1507" s="211">
        <v>0</v>
      </c>
      <c r="U1507" s="211">
        <v>0</v>
      </c>
      <c r="V1507" s="213">
        <v>0</v>
      </c>
      <c r="W1507" s="213">
        <v>0</v>
      </c>
    </row>
    <row r="1508" spans="1:23" ht="15" customHeight="1">
      <c r="C1508" s="3">
        <v>10</v>
      </c>
      <c r="D1508" s="15" t="s">
        <v>1119</v>
      </c>
      <c r="E1508" s="312" t="s">
        <v>169</v>
      </c>
      <c r="G1508" s="26">
        <v>2714</v>
      </c>
      <c r="H1508" s="26">
        <v>5576</v>
      </c>
      <c r="I1508" s="26">
        <v>3046</v>
      </c>
      <c r="J1508" s="26">
        <v>3165</v>
      </c>
      <c r="K1508" s="26">
        <v>5400</v>
      </c>
      <c r="L1508" s="26">
        <v>293</v>
      </c>
      <c r="M1508" s="26">
        <v>4500</v>
      </c>
      <c r="N1508" s="26">
        <v>5400</v>
      </c>
      <c r="O1508" s="285"/>
      <c r="P1508" s="202">
        <v>1492</v>
      </c>
      <c r="Q1508" s="210">
        <v>10</v>
      </c>
      <c r="R1508" s="205" t="s">
        <v>1202</v>
      </c>
      <c r="S1508" s="206" t="s">
        <v>125</v>
      </c>
      <c r="T1508" s="211">
        <v>25</v>
      </c>
      <c r="U1508" s="211">
        <v>0</v>
      </c>
      <c r="V1508" s="213">
        <v>0</v>
      </c>
      <c r="W1508" s="213">
        <v>0</v>
      </c>
    </row>
    <row r="1509" spans="1:23" ht="15" customHeight="1">
      <c r="C1509" s="3">
        <v>10</v>
      </c>
      <c r="D1509" s="15" t="s">
        <v>1120</v>
      </c>
      <c r="E1509" s="312" t="s">
        <v>175</v>
      </c>
      <c r="G1509" s="26">
        <v>0</v>
      </c>
      <c r="H1509" s="26">
        <v>0</v>
      </c>
      <c r="I1509" s="26">
        <v>0</v>
      </c>
      <c r="J1509" s="26">
        <v>0</v>
      </c>
      <c r="K1509" s="26">
        <v>0</v>
      </c>
      <c r="L1509" s="26">
        <v>0</v>
      </c>
      <c r="M1509" s="26">
        <v>0</v>
      </c>
      <c r="N1509" s="26">
        <v>0</v>
      </c>
      <c r="O1509" s="285"/>
      <c r="P1509" s="202">
        <v>1493</v>
      </c>
      <c r="Q1509" s="210">
        <v>10</v>
      </c>
      <c r="R1509" s="205" t="s">
        <v>1203</v>
      </c>
      <c r="S1509" s="206" t="s">
        <v>106</v>
      </c>
      <c r="T1509" s="211">
        <v>2200</v>
      </c>
      <c r="U1509" s="211">
        <v>188.08</v>
      </c>
      <c r="V1509" s="213">
        <v>1117.58</v>
      </c>
      <c r="W1509" s="213">
        <v>50.8</v>
      </c>
    </row>
    <row r="1510" spans="1:23" ht="15" customHeight="1">
      <c r="C1510" s="3">
        <v>10</v>
      </c>
      <c r="D1510" s="15" t="s">
        <v>1121</v>
      </c>
      <c r="E1510" s="312" t="s">
        <v>244</v>
      </c>
      <c r="G1510" s="26">
        <v>0</v>
      </c>
      <c r="H1510" s="26">
        <v>0</v>
      </c>
      <c r="I1510" s="26">
        <v>0</v>
      </c>
      <c r="J1510" s="26">
        <v>0</v>
      </c>
      <c r="K1510" s="26">
        <v>0</v>
      </c>
      <c r="L1510" s="26">
        <v>0</v>
      </c>
      <c r="M1510" s="26">
        <v>0</v>
      </c>
      <c r="N1510" s="26">
        <v>0</v>
      </c>
      <c r="O1510" s="285"/>
      <c r="P1510" s="202">
        <v>1494</v>
      </c>
      <c r="Q1510" s="210">
        <v>10</v>
      </c>
      <c r="R1510" s="205" t="s">
        <v>1204</v>
      </c>
      <c r="S1510" s="206" t="s">
        <v>197</v>
      </c>
      <c r="T1510" s="211">
        <v>0</v>
      </c>
      <c r="U1510" s="211">
        <v>0</v>
      </c>
      <c r="V1510" s="213">
        <v>0</v>
      </c>
      <c r="W1510" s="213">
        <v>0</v>
      </c>
    </row>
    <row r="1511" spans="1:23" ht="15" customHeight="1">
      <c r="G1511" s="26"/>
      <c r="H1511" s="26"/>
      <c r="I1511" s="26"/>
      <c r="J1511" s="26"/>
      <c r="K1511" s="26"/>
      <c r="L1511" s="26"/>
      <c r="M1511" s="26"/>
      <c r="N1511" s="26"/>
      <c r="O1511" s="293"/>
      <c r="P1511" s="202">
        <v>1495</v>
      </c>
      <c r="Q1511" s="210">
        <v>10</v>
      </c>
      <c r="R1511" s="205" t="s">
        <v>1205</v>
      </c>
      <c r="S1511" s="206" t="s">
        <v>128</v>
      </c>
      <c r="T1511" s="211">
        <v>0</v>
      </c>
      <c r="U1511" s="211">
        <v>0</v>
      </c>
      <c r="V1511" s="213">
        <v>0</v>
      </c>
      <c r="W1511" s="213">
        <v>0</v>
      </c>
    </row>
    <row r="1512" spans="1:23" s="23" customFormat="1" ht="15" customHeight="1">
      <c r="A1512" s="2" t="s">
        <v>163</v>
      </c>
      <c r="B1512" s="2" t="s">
        <v>2317</v>
      </c>
      <c r="C1512" s="3"/>
      <c r="D1512" s="323" t="s">
        <v>2157</v>
      </c>
      <c r="E1512" s="323"/>
      <c r="F1512" s="324"/>
      <c r="G1512" s="325">
        <f>SUM(G1503:G1511)</f>
        <v>2714</v>
      </c>
      <c r="H1512" s="325">
        <f t="shared" ref="H1512:N1512" si="121">SUM(H1503:H1511)</f>
        <v>5576</v>
      </c>
      <c r="I1512" s="325">
        <f t="shared" si="121"/>
        <v>3046</v>
      </c>
      <c r="J1512" s="325">
        <f t="shared" si="121"/>
        <v>3165</v>
      </c>
      <c r="K1512" s="325">
        <f t="shared" si="121"/>
        <v>5400</v>
      </c>
      <c r="L1512" s="325">
        <f t="shared" si="121"/>
        <v>293</v>
      </c>
      <c r="M1512" s="325">
        <f t="shared" si="121"/>
        <v>4500</v>
      </c>
      <c r="N1512" s="325">
        <f t="shared" si="121"/>
        <v>5400</v>
      </c>
      <c r="O1512" s="291"/>
      <c r="P1512" s="202">
        <v>1496</v>
      </c>
      <c r="Q1512" s="210">
        <v>10</v>
      </c>
      <c r="R1512" s="205" t="s">
        <v>1206</v>
      </c>
      <c r="S1512" s="206" t="s">
        <v>200</v>
      </c>
      <c r="T1512" s="211">
        <v>436</v>
      </c>
      <c r="U1512" s="211">
        <v>33.049999999999997</v>
      </c>
      <c r="V1512" s="213">
        <v>221.43</v>
      </c>
      <c r="W1512" s="213">
        <v>50.79</v>
      </c>
    </row>
    <row r="1513" spans="1:23" s="46" customFormat="1" ht="15" customHeight="1">
      <c r="A1513" s="2"/>
      <c r="B1513" s="2"/>
      <c r="C1513" s="3"/>
      <c r="D1513" s="47"/>
      <c r="E1513" s="47"/>
      <c r="F1513" s="191"/>
      <c r="G1513" s="48"/>
      <c r="H1513" s="48"/>
      <c r="I1513" s="48"/>
      <c r="J1513" s="48"/>
      <c r="K1513" s="48"/>
      <c r="L1513" s="48"/>
      <c r="M1513" s="48"/>
      <c r="N1513" s="48"/>
      <c r="O1513" s="289"/>
      <c r="P1513" s="202">
        <v>1497</v>
      </c>
      <c r="Q1513" s="210">
        <v>10</v>
      </c>
      <c r="R1513" s="205" t="s">
        <v>1207</v>
      </c>
      <c r="S1513" s="206" t="s">
        <v>202</v>
      </c>
      <c r="T1513" s="211">
        <v>0</v>
      </c>
      <c r="U1513" s="211">
        <v>0</v>
      </c>
      <c r="V1513" s="213">
        <v>0</v>
      </c>
      <c r="W1513" s="213">
        <v>0</v>
      </c>
    </row>
    <row r="1514" spans="1:23" ht="15" customHeight="1">
      <c r="D1514" s="47" t="s">
        <v>2158</v>
      </c>
      <c r="G1514" s="26"/>
      <c r="H1514" s="26"/>
      <c r="I1514" s="26"/>
      <c r="J1514" s="26"/>
      <c r="K1514" s="26"/>
      <c r="L1514" s="26"/>
      <c r="M1514" s="26"/>
      <c r="N1514" s="26"/>
      <c r="P1514" s="202">
        <v>1498</v>
      </c>
      <c r="Q1514" s="210">
        <v>10</v>
      </c>
      <c r="R1514" s="205" t="s">
        <v>1208</v>
      </c>
      <c r="S1514" s="206" t="s">
        <v>130</v>
      </c>
      <c r="T1514" s="211">
        <v>800</v>
      </c>
      <c r="U1514" s="211">
        <v>56.08</v>
      </c>
      <c r="V1514" s="213">
        <v>109.52</v>
      </c>
      <c r="W1514" s="213">
        <v>13.69</v>
      </c>
    </row>
    <row r="1515" spans="1:23" ht="15" customHeight="1">
      <c r="G1515" s="26"/>
      <c r="H1515" s="26"/>
      <c r="I1515" s="26"/>
      <c r="J1515" s="26"/>
      <c r="K1515" s="26"/>
      <c r="L1515" s="26"/>
      <c r="M1515" s="26"/>
      <c r="N1515" s="26"/>
      <c r="P1515" s="202">
        <v>1499</v>
      </c>
      <c r="Q1515" s="210">
        <v>10</v>
      </c>
      <c r="R1515" s="205" t="s">
        <v>1209</v>
      </c>
      <c r="S1515" s="206" t="s">
        <v>132</v>
      </c>
      <c r="T1515" s="211">
        <v>500</v>
      </c>
      <c r="U1515" s="211">
        <v>18.93</v>
      </c>
      <c r="V1515" s="213">
        <v>172.1</v>
      </c>
      <c r="W1515" s="213">
        <v>34.42</v>
      </c>
    </row>
    <row r="1516" spans="1:23" ht="15" customHeight="1">
      <c r="C1516" s="3">
        <v>10</v>
      </c>
      <c r="D1516" s="15" t="s">
        <v>1122</v>
      </c>
      <c r="E1516" s="312" t="s">
        <v>329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85"/>
      <c r="P1516" s="202">
        <v>1500</v>
      </c>
      <c r="Q1516" s="210">
        <v>10</v>
      </c>
      <c r="R1516" s="205" t="s">
        <v>1210</v>
      </c>
      <c r="S1516" s="206" t="s">
        <v>206</v>
      </c>
      <c r="T1516" s="211">
        <v>0</v>
      </c>
      <c r="U1516" s="211">
        <v>0</v>
      </c>
      <c r="V1516" s="213">
        <v>0</v>
      </c>
      <c r="W1516" s="213">
        <v>0</v>
      </c>
    </row>
    <row r="1517" spans="1:23" ht="15" customHeight="1">
      <c r="C1517" s="3">
        <v>10</v>
      </c>
      <c r="D1517" s="15" t="s">
        <v>1123</v>
      </c>
      <c r="E1517" s="312" t="s">
        <v>165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85"/>
      <c r="P1517" s="202">
        <v>1501</v>
      </c>
      <c r="Q1517" s="210">
        <v>10</v>
      </c>
      <c r="R1517" s="205" t="s">
        <v>1211</v>
      </c>
      <c r="S1517" s="206" t="s">
        <v>208</v>
      </c>
      <c r="T1517" s="211">
        <v>0</v>
      </c>
      <c r="U1517" s="211">
        <v>0</v>
      </c>
      <c r="V1517" s="213">
        <v>0</v>
      </c>
      <c r="W1517" s="213">
        <v>0</v>
      </c>
    </row>
    <row r="1518" spans="1:23" ht="15" customHeight="1">
      <c r="C1518" s="3">
        <v>10</v>
      </c>
      <c r="D1518" s="15" t="s">
        <v>1124</v>
      </c>
      <c r="E1518" s="312" t="s">
        <v>167</v>
      </c>
      <c r="G1518" s="26">
        <v>0</v>
      </c>
      <c r="H1518" s="26">
        <v>0</v>
      </c>
      <c r="I1518" s="26">
        <v>0</v>
      </c>
      <c r="J1518" s="26">
        <v>0</v>
      </c>
      <c r="K1518" s="26">
        <v>0</v>
      </c>
      <c r="L1518" s="26">
        <v>0</v>
      </c>
      <c r="M1518" s="26">
        <v>0</v>
      </c>
      <c r="N1518" s="26">
        <v>0</v>
      </c>
      <c r="O1518" s="285"/>
      <c r="P1518" s="202">
        <v>1502</v>
      </c>
      <c r="Q1518" s="210">
        <v>10</v>
      </c>
      <c r="R1518" s="205" t="s">
        <v>1212</v>
      </c>
      <c r="S1518" s="206" t="s">
        <v>210</v>
      </c>
      <c r="T1518" s="211">
        <v>0</v>
      </c>
      <c r="U1518" s="211">
        <v>0</v>
      </c>
      <c r="V1518" s="213">
        <v>0</v>
      </c>
      <c r="W1518" s="213">
        <v>0</v>
      </c>
    </row>
    <row r="1519" spans="1:23" ht="15" customHeight="1">
      <c r="C1519" s="3">
        <v>10</v>
      </c>
      <c r="D1519" s="15" t="s">
        <v>1125</v>
      </c>
      <c r="E1519" s="312" t="s">
        <v>247</v>
      </c>
      <c r="G1519" s="26">
        <v>0</v>
      </c>
      <c r="H1519" s="26">
        <v>1537</v>
      </c>
      <c r="I1519" s="26">
        <v>0</v>
      </c>
      <c r="J1519" s="26">
        <v>0</v>
      </c>
      <c r="K1519" s="26">
        <v>0</v>
      </c>
      <c r="L1519" s="26">
        <v>0</v>
      </c>
      <c r="M1519" s="26">
        <v>0</v>
      </c>
      <c r="N1519" s="26">
        <v>0</v>
      </c>
      <c r="O1519" s="285"/>
      <c r="P1519" s="202">
        <v>1503</v>
      </c>
      <c r="Q1519" s="210">
        <v>10</v>
      </c>
      <c r="R1519" s="205" t="s">
        <v>1213</v>
      </c>
      <c r="S1519" s="206" t="s">
        <v>134</v>
      </c>
      <c r="T1519" s="211">
        <v>0</v>
      </c>
      <c r="U1519" s="211">
        <v>0</v>
      </c>
      <c r="V1519" s="213">
        <v>0</v>
      </c>
      <c r="W1519" s="213">
        <v>0</v>
      </c>
    </row>
    <row r="1520" spans="1:23" ht="15" customHeight="1">
      <c r="C1520" s="3">
        <v>10</v>
      </c>
      <c r="D1520" s="15" t="s">
        <v>1126</v>
      </c>
      <c r="E1520" s="312" t="s">
        <v>244</v>
      </c>
      <c r="G1520" s="26">
        <v>0</v>
      </c>
      <c r="H1520" s="26">
        <v>0</v>
      </c>
      <c r="I1520" s="26">
        <v>0</v>
      </c>
      <c r="J1520" s="26">
        <v>0</v>
      </c>
      <c r="K1520" s="26">
        <v>0</v>
      </c>
      <c r="L1520" s="26">
        <v>0</v>
      </c>
      <c r="M1520" s="26">
        <v>0</v>
      </c>
      <c r="N1520" s="26">
        <v>0</v>
      </c>
      <c r="O1520" s="285"/>
      <c r="P1520" s="202">
        <v>1504</v>
      </c>
      <c r="Q1520" s="210">
        <v>10</v>
      </c>
      <c r="R1520" s="205" t="s">
        <v>1214</v>
      </c>
      <c r="S1520" s="206" t="s">
        <v>213</v>
      </c>
      <c r="T1520" s="211">
        <v>0</v>
      </c>
      <c r="U1520" s="211">
        <v>0</v>
      </c>
      <c r="V1520" s="213">
        <v>0</v>
      </c>
      <c r="W1520" s="213">
        <v>0</v>
      </c>
    </row>
    <row r="1521" spans="1:23" ht="15" customHeight="1">
      <c r="G1521" s="26"/>
      <c r="H1521" s="26"/>
      <c r="I1521" s="26"/>
      <c r="J1521" s="26"/>
      <c r="K1521" s="26"/>
      <c r="L1521" s="26"/>
      <c r="M1521" s="26"/>
      <c r="N1521" s="26"/>
      <c r="O1521" s="293"/>
      <c r="P1521" s="202">
        <v>1505</v>
      </c>
      <c r="Q1521" s="210">
        <v>10</v>
      </c>
      <c r="R1521" s="205" t="s">
        <v>2623</v>
      </c>
      <c r="S1521" s="206"/>
      <c r="T1521" s="211"/>
      <c r="U1521" s="211"/>
      <c r="V1521" s="213"/>
      <c r="W1521" s="213"/>
    </row>
    <row r="1522" spans="1:23" s="24" customFormat="1" ht="15" customHeight="1">
      <c r="A1522" s="2" t="s">
        <v>245</v>
      </c>
      <c r="B1522" s="2" t="s">
        <v>2317</v>
      </c>
      <c r="C1522" s="3"/>
      <c r="D1522" s="323" t="s">
        <v>2159</v>
      </c>
      <c r="E1522" s="323"/>
      <c r="F1522" s="324"/>
      <c r="G1522" s="325">
        <f>SUM(G1516:G1521)</f>
        <v>0</v>
      </c>
      <c r="H1522" s="325">
        <f t="shared" ref="H1522:N1522" si="122">SUM(H1516:H1521)</f>
        <v>1537</v>
      </c>
      <c r="I1522" s="325">
        <f t="shared" si="122"/>
        <v>0</v>
      </c>
      <c r="J1522" s="325">
        <f t="shared" si="122"/>
        <v>0</v>
      </c>
      <c r="K1522" s="325">
        <f t="shared" si="122"/>
        <v>0</v>
      </c>
      <c r="L1522" s="325">
        <f t="shared" si="122"/>
        <v>0</v>
      </c>
      <c r="M1522" s="325">
        <f t="shared" si="122"/>
        <v>0</v>
      </c>
      <c r="N1522" s="325">
        <f t="shared" si="122"/>
        <v>0</v>
      </c>
      <c r="O1522" s="292"/>
      <c r="P1522" s="202">
        <v>1506</v>
      </c>
      <c r="Q1522" s="210">
        <v>10</v>
      </c>
      <c r="R1522" s="205" t="s">
        <v>104</v>
      </c>
      <c r="S1522" s="206"/>
      <c r="T1522" s="211">
        <v>4272</v>
      </c>
      <c r="U1522" s="211">
        <v>322.31</v>
      </c>
      <c r="V1522" s="213">
        <v>1725.19</v>
      </c>
      <c r="W1522" s="213">
        <v>0</v>
      </c>
    </row>
    <row r="1523" spans="1:23" ht="15" customHeight="1">
      <c r="G1523" s="26"/>
      <c r="H1523" s="26"/>
      <c r="I1523" s="26"/>
      <c r="J1523" s="26"/>
      <c r="K1523" s="26"/>
      <c r="L1523" s="26"/>
      <c r="M1523" s="26"/>
      <c r="N1523" s="26"/>
      <c r="P1523" s="202">
        <v>1507</v>
      </c>
      <c r="Q1523" s="210">
        <v>10</v>
      </c>
      <c r="R1523" s="205" t="s">
        <v>135</v>
      </c>
      <c r="S1523" s="206"/>
      <c r="T1523" s="211"/>
      <c r="U1523" s="211"/>
      <c r="V1523" s="213"/>
      <c r="W1523" s="213"/>
    </row>
    <row r="1524" spans="1:23" s="43" customFormat="1" ht="15" customHeight="1" thickBot="1">
      <c r="A1524" s="2"/>
      <c r="B1524" s="2" t="s">
        <v>2317</v>
      </c>
      <c r="C1524" s="3"/>
      <c r="D1524" s="68" t="s">
        <v>1993</v>
      </c>
      <c r="E1524" s="326"/>
      <c r="F1524" s="327"/>
      <c r="G1524" s="328">
        <f>+G1522+G1512+G1501+G1483+G1468</f>
        <v>129169</v>
      </c>
      <c r="H1524" s="328">
        <f t="shared" ref="H1524:N1524" si="123">+H1522+H1512+H1501+H1483+H1468</f>
        <v>97526</v>
      </c>
      <c r="I1524" s="328">
        <f t="shared" si="123"/>
        <v>115561</v>
      </c>
      <c r="J1524" s="328">
        <f t="shared" si="123"/>
        <v>108038</v>
      </c>
      <c r="K1524" s="328">
        <f t="shared" si="123"/>
        <v>119499</v>
      </c>
      <c r="L1524" s="328">
        <f t="shared" si="123"/>
        <v>77787</v>
      </c>
      <c r="M1524" s="328">
        <f t="shared" si="123"/>
        <v>119597.6</v>
      </c>
      <c r="N1524" s="328">
        <f t="shared" si="123"/>
        <v>122683</v>
      </c>
      <c r="O1524" s="288"/>
      <c r="P1524" s="202">
        <v>1508</v>
      </c>
      <c r="Q1524" s="210">
        <v>10</v>
      </c>
      <c r="R1524" s="205" t="s">
        <v>2626</v>
      </c>
      <c r="S1524" s="206"/>
      <c r="T1524" s="211"/>
      <c r="U1524" s="211"/>
      <c r="V1524" s="213"/>
      <c r="W1524" s="213"/>
    </row>
    <row r="1525" spans="1:23" s="45" customFormat="1" ht="15" customHeight="1" thickTop="1">
      <c r="A1525" s="2"/>
      <c r="B1525" s="2"/>
      <c r="C1525" s="3"/>
      <c r="D1525" s="47"/>
      <c r="E1525" s="15"/>
      <c r="F1525" s="105"/>
      <c r="G1525" s="26"/>
      <c r="H1525" s="26"/>
      <c r="I1525" s="26"/>
      <c r="J1525" s="26"/>
      <c r="K1525" s="26"/>
      <c r="L1525" s="26"/>
      <c r="M1525" s="26"/>
      <c r="N1525" s="26"/>
      <c r="O1525" s="275"/>
      <c r="P1525" s="202">
        <v>1509</v>
      </c>
      <c r="Q1525" s="210">
        <v>10</v>
      </c>
      <c r="R1525" s="205" t="s">
        <v>1215</v>
      </c>
      <c r="S1525" s="206" t="s">
        <v>137</v>
      </c>
      <c r="T1525" s="211">
        <v>350</v>
      </c>
      <c r="U1525" s="211">
        <v>0</v>
      </c>
      <c r="V1525" s="213">
        <v>197.44</v>
      </c>
      <c r="W1525" s="213">
        <v>56.41</v>
      </c>
    </row>
    <row r="1526" spans="1:23" s="45" customFormat="1" ht="15" customHeight="1">
      <c r="A1526" s="2"/>
      <c r="B1526" s="2"/>
      <c r="C1526" s="3"/>
      <c r="D1526" s="47" t="s">
        <v>2161</v>
      </c>
      <c r="E1526" s="15"/>
      <c r="F1526" s="105"/>
      <c r="G1526" s="26"/>
      <c r="H1526" s="26"/>
      <c r="I1526" s="26"/>
      <c r="J1526" s="26"/>
      <c r="K1526" s="26"/>
      <c r="L1526" s="26"/>
      <c r="M1526" s="26"/>
      <c r="N1526" s="26"/>
      <c r="O1526" s="275"/>
      <c r="P1526" s="202">
        <v>1510</v>
      </c>
      <c r="Q1526" s="210">
        <v>10</v>
      </c>
      <c r="R1526" s="205" t="s">
        <v>1216</v>
      </c>
      <c r="S1526" s="206" t="s">
        <v>216</v>
      </c>
      <c r="T1526" s="211">
        <v>0</v>
      </c>
      <c r="U1526" s="211">
        <v>0</v>
      </c>
      <c r="V1526" s="213">
        <v>0</v>
      </c>
      <c r="W1526" s="213">
        <v>0</v>
      </c>
    </row>
    <row r="1527" spans="1:23" s="45" customFormat="1" ht="15" customHeight="1">
      <c r="A1527" s="2"/>
      <c r="B1527" s="2"/>
      <c r="C1527" s="3"/>
      <c r="D1527" s="47"/>
      <c r="E1527" s="15"/>
      <c r="F1527" s="105"/>
      <c r="G1527" s="26"/>
      <c r="H1527" s="26"/>
      <c r="I1527" s="26"/>
      <c r="J1527" s="26"/>
      <c r="K1527" s="26"/>
      <c r="L1527" s="26"/>
      <c r="M1527" s="26"/>
      <c r="N1527" s="26"/>
      <c r="O1527" s="275"/>
      <c r="P1527" s="202">
        <v>1511</v>
      </c>
      <c r="Q1527" s="210">
        <v>10</v>
      </c>
      <c r="R1527" s="205" t="s">
        <v>1217</v>
      </c>
      <c r="S1527" s="206" t="s">
        <v>139</v>
      </c>
      <c r="T1527" s="211">
        <v>300</v>
      </c>
      <c r="U1527" s="211">
        <v>0</v>
      </c>
      <c r="V1527" s="213">
        <v>0</v>
      </c>
      <c r="W1527" s="213">
        <v>0</v>
      </c>
    </row>
    <row r="1528" spans="1:23" s="5" customFormat="1" ht="15" customHeight="1">
      <c r="A1528" s="2"/>
      <c r="B1528" s="2"/>
      <c r="C1528" s="3"/>
      <c r="D1528" s="47" t="s">
        <v>2162</v>
      </c>
      <c r="E1528" s="15"/>
      <c r="F1528" s="105"/>
      <c r="G1528" s="26"/>
      <c r="H1528" s="26"/>
      <c r="I1528" s="26"/>
      <c r="J1528" s="26"/>
      <c r="K1528" s="26"/>
      <c r="L1528" s="26"/>
      <c r="M1528" s="26"/>
      <c r="N1528" s="26"/>
      <c r="O1528" s="282"/>
      <c r="P1528" s="202">
        <v>1512</v>
      </c>
      <c r="Q1528" s="210">
        <v>10</v>
      </c>
      <c r="R1528" s="205" t="s">
        <v>1218</v>
      </c>
      <c r="S1528" s="206" t="s">
        <v>141</v>
      </c>
      <c r="T1528" s="211">
        <v>0</v>
      </c>
      <c r="U1528" s="211">
        <v>0</v>
      </c>
      <c r="V1528" s="213">
        <v>0</v>
      </c>
      <c r="W1528" s="213">
        <v>0</v>
      </c>
    </row>
    <row r="1529" spans="1:23" ht="15" customHeight="1">
      <c r="G1529" s="26"/>
      <c r="H1529" s="26"/>
      <c r="I1529" s="26"/>
      <c r="J1529" s="26"/>
      <c r="K1529" s="26"/>
      <c r="L1529" s="26"/>
      <c r="M1529" s="26"/>
      <c r="N1529" s="26"/>
      <c r="P1529" s="202">
        <v>1513</v>
      </c>
      <c r="Q1529" s="210">
        <v>10</v>
      </c>
      <c r="R1529" s="205" t="s">
        <v>1219</v>
      </c>
      <c r="S1529" s="206" t="s">
        <v>143</v>
      </c>
      <c r="T1529" s="211">
        <v>3000</v>
      </c>
      <c r="U1529" s="211">
        <v>0</v>
      </c>
      <c r="V1529" s="213">
        <v>455.25</v>
      </c>
      <c r="W1529" s="213">
        <v>15.18</v>
      </c>
    </row>
    <row r="1530" spans="1:23" ht="15" customHeight="1">
      <c r="C1530" s="3">
        <v>10</v>
      </c>
      <c r="D1530" s="15" t="s">
        <v>1127</v>
      </c>
      <c r="E1530" s="312" t="s">
        <v>79</v>
      </c>
      <c r="G1530" s="26">
        <v>82139</v>
      </c>
      <c r="H1530" s="26">
        <v>89796</v>
      </c>
      <c r="I1530" s="26">
        <v>96665</v>
      </c>
      <c r="J1530" s="26">
        <v>97703</v>
      </c>
      <c r="K1530" s="26">
        <v>108404</v>
      </c>
      <c r="L1530" s="26">
        <v>59040</v>
      </c>
      <c r="M1530" s="26">
        <f>75928+(8444*3)</f>
        <v>101260</v>
      </c>
      <c r="N1530" s="26">
        <v>102247</v>
      </c>
      <c r="P1530" s="202">
        <v>1514</v>
      </c>
      <c r="Q1530" s="210">
        <v>10</v>
      </c>
      <c r="R1530" s="205" t="s">
        <v>1220</v>
      </c>
      <c r="S1530" s="206" t="s">
        <v>145</v>
      </c>
      <c r="T1530" s="211">
        <v>0</v>
      </c>
      <c r="U1530" s="211">
        <v>0</v>
      </c>
      <c r="V1530" s="213">
        <v>0</v>
      </c>
      <c r="W1530" s="213">
        <v>0</v>
      </c>
    </row>
    <row r="1531" spans="1:23" ht="15" customHeight="1">
      <c r="C1531" s="3">
        <v>10</v>
      </c>
      <c r="D1531" s="15" t="s">
        <v>1128</v>
      </c>
      <c r="E1531" s="312" t="s">
        <v>81</v>
      </c>
      <c r="G1531" s="26">
        <v>12616</v>
      </c>
      <c r="H1531" s="26">
        <v>14308</v>
      </c>
      <c r="I1531" s="26">
        <v>14045</v>
      </c>
      <c r="J1531" s="26">
        <v>14012</v>
      </c>
      <c r="K1531" s="26">
        <v>13318</v>
      </c>
      <c r="L1531" s="26">
        <v>8073</v>
      </c>
      <c r="M1531" s="26">
        <f>10391*1.33</f>
        <v>13820.03</v>
      </c>
      <c r="N1531" s="26">
        <v>13318</v>
      </c>
      <c r="P1531" s="202">
        <v>1515</v>
      </c>
      <c r="Q1531" s="210">
        <v>10</v>
      </c>
      <c r="R1531" s="205" t="s">
        <v>1221</v>
      </c>
      <c r="S1531" s="206" t="s">
        <v>147</v>
      </c>
      <c r="T1531" s="211">
        <v>0</v>
      </c>
      <c r="U1531" s="211">
        <v>0</v>
      </c>
      <c r="V1531" s="213">
        <v>0</v>
      </c>
      <c r="W1531" s="213">
        <v>0</v>
      </c>
    </row>
    <row r="1532" spans="1:23" ht="15" customHeight="1">
      <c r="C1532" s="3">
        <v>10</v>
      </c>
      <c r="D1532" s="15" t="s">
        <v>1129</v>
      </c>
      <c r="E1532" s="312" t="s">
        <v>83</v>
      </c>
      <c r="G1532" s="26">
        <v>0</v>
      </c>
      <c r="H1532" s="26">
        <v>90</v>
      </c>
      <c r="I1532" s="26">
        <v>0</v>
      </c>
      <c r="J1532" s="26">
        <v>0</v>
      </c>
      <c r="K1532" s="26">
        <v>0</v>
      </c>
      <c r="L1532" s="26">
        <v>0</v>
      </c>
      <c r="M1532" s="26">
        <v>0</v>
      </c>
      <c r="N1532" s="26">
        <v>0</v>
      </c>
      <c r="P1532" s="202">
        <v>1516</v>
      </c>
      <c r="Q1532" s="210">
        <v>10</v>
      </c>
      <c r="R1532" s="205" t="s">
        <v>1222</v>
      </c>
      <c r="S1532" s="206" t="s">
        <v>149</v>
      </c>
      <c r="T1532" s="211">
        <v>0</v>
      </c>
      <c r="U1532" s="211">
        <v>0</v>
      </c>
      <c r="V1532" s="213">
        <v>0</v>
      </c>
      <c r="W1532" s="213">
        <v>0</v>
      </c>
    </row>
    <row r="1533" spans="1:23" ht="15" customHeight="1">
      <c r="C1533" s="3">
        <v>10</v>
      </c>
      <c r="D1533" s="15" t="s">
        <v>1130</v>
      </c>
      <c r="E1533" s="312" t="s">
        <v>85</v>
      </c>
      <c r="G1533" s="26">
        <v>200</v>
      </c>
      <c r="H1533" s="26">
        <v>0</v>
      </c>
      <c r="I1533" s="26">
        <v>378</v>
      </c>
      <c r="J1533" s="26">
        <v>144</v>
      </c>
      <c r="K1533" s="26">
        <v>514</v>
      </c>
      <c r="L1533" s="26">
        <v>522</v>
      </c>
      <c r="M1533" s="26">
        <f>522*1.33</f>
        <v>694.26</v>
      </c>
      <c r="N1533" s="26">
        <v>694</v>
      </c>
      <c r="P1533" s="202">
        <v>1517</v>
      </c>
      <c r="Q1533" s="210">
        <v>10</v>
      </c>
      <c r="R1533" s="205" t="s">
        <v>1223</v>
      </c>
      <c r="S1533" s="206" t="s">
        <v>151</v>
      </c>
      <c r="T1533" s="211">
        <v>0</v>
      </c>
      <c r="U1533" s="211">
        <v>0</v>
      </c>
      <c r="V1533" s="213">
        <v>0</v>
      </c>
      <c r="W1533" s="213">
        <v>0</v>
      </c>
    </row>
    <row r="1534" spans="1:23" ht="15" customHeight="1">
      <c r="C1534" s="3">
        <v>10</v>
      </c>
      <c r="D1534" s="15" t="s">
        <v>1131</v>
      </c>
      <c r="E1534" s="312" t="s">
        <v>87</v>
      </c>
      <c r="G1534" s="26">
        <v>6302</v>
      </c>
      <c r="H1534" s="26">
        <v>7410</v>
      </c>
      <c r="I1534" s="26">
        <v>7656</v>
      </c>
      <c r="J1534" s="26">
        <v>7443</v>
      </c>
      <c r="K1534" s="26">
        <v>8314</v>
      </c>
      <c r="L1534" s="26">
        <v>4495</v>
      </c>
      <c r="M1534" s="26">
        <f>5802*1.33</f>
        <v>7716.6600000000008</v>
      </c>
      <c r="N1534" s="26">
        <v>8007</v>
      </c>
      <c r="P1534" s="202">
        <v>1518</v>
      </c>
      <c r="Q1534" s="210">
        <v>10</v>
      </c>
      <c r="R1534" s="205" t="s">
        <v>1224</v>
      </c>
      <c r="S1534" s="206" t="s">
        <v>153</v>
      </c>
      <c r="T1534" s="211">
        <v>0</v>
      </c>
      <c r="U1534" s="211">
        <v>0</v>
      </c>
      <c r="V1534" s="213">
        <v>0</v>
      </c>
      <c r="W1534" s="213">
        <v>0</v>
      </c>
    </row>
    <row r="1535" spans="1:23" ht="15" customHeight="1">
      <c r="C1535" s="3">
        <v>10</v>
      </c>
      <c r="D1535" s="15" t="s">
        <v>1132</v>
      </c>
      <c r="E1535" s="312" t="s">
        <v>89</v>
      </c>
      <c r="G1535" s="26">
        <v>11916</v>
      </c>
      <c r="H1535" s="26">
        <v>14256</v>
      </c>
      <c r="I1535" s="26">
        <v>15701</v>
      </c>
      <c r="J1535" s="26">
        <v>16909</v>
      </c>
      <c r="K1535" s="26">
        <v>17410</v>
      </c>
      <c r="L1535" s="26">
        <v>10271</v>
      </c>
      <c r="M1535" s="26">
        <f>13231*1.33</f>
        <v>17597.23</v>
      </c>
      <c r="N1535" s="26">
        <v>18299</v>
      </c>
      <c r="P1535" s="202">
        <v>1519</v>
      </c>
      <c r="Q1535" s="210">
        <v>10</v>
      </c>
      <c r="R1535" s="205" t="s">
        <v>1225</v>
      </c>
      <c r="S1535" s="206" t="s">
        <v>157</v>
      </c>
      <c r="T1535" s="211">
        <v>0</v>
      </c>
      <c r="U1535" s="211">
        <v>0</v>
      </c>
      <c r="V1535" s="213">
        <v>0</v>
      </c>
      <c r="W1535" s="213">
        <v>0</v>
      </c>
    </row>
    <row r="1536" spans="1:23" ht="15" customHeight="1">
      <c r="C1536" s="3">
        <v>10</v>
      </c>
      <c r="D1536" s="15" t="s">
        <v>1133</v>
      </c>
      <c r="E1536" s="312" t="s">
        <v>91</v>
      </c>
      <c r="G1536" s="26">
        <v>0</v>
      </c>
      <c r="H1536" s="26">
        <v>0</v>
      </c>
      <c r="I1536" s="26">
        <v>582</v>
      </c>
      <c r="J1536" s="26">
        <v>0</v>
      </c>
      <c r="K1536" s="26">
        <v>0</v>
      </c>
      <c r="L1536" s="26">
        <v>125</v>
      </c>
      <c r="M1536" s="26">
        <v>125</v>
      </c>
      <c r="N1536" s="26">
        <v>0</v>
      </c>
      <c r="P1536" s="202">
        <v>1520</v>
      </c>
      <c r="Q1536" s="210">
        <v>10</v>
      </c>
      <c r="R1536" s="205" t="s">
        <v>1226</v>
      </c>
      <c r="S1536" s="206" t="s">
        <v>159</v>
      </c>
      <c r="T1536" s="211">
        <v>7768</v>
      </c>
      <c r="U1536" s="211">
        <v>0</v>
      </c>
      <c r="V1536" s="213">
        <v>3846.18</v>
      </c>
      <c r="W1536" s="213">
        <v>49.51</v>
      </c>
    </row>
    <row r="1537" spans="1:23" ht="15" customHeight="1">
      <c r="C1537" s="3">
        <v>10</v>
      </c>
      <c r="D1537" s="15" t="s">
        <v>1134</v>
      </c>
      <c r="E1537" s="312" t="s">
        <v>93</v>
      </c>
      <c r="G1537" s="26">
        <v>0</v>
      </c>
      <c r="H1537" s="26">
        <v>7752</v>
      </c>
      <c r="I1537" s="26">
        <v>5352</v>
      </c>
      <c r="J1537" s="26">
        <v>5501</v>
      </c>
      <c r="K1537" s="26">
        <v>0</v>
      </c>
      <c r="L1537" s="26">
        <v>2583</v>
      </c>
      <c r="M1537" s="26">
        <v>4000</v>
      </c>
      <c r="N1537" s="26">
        <v>4000</v>
      </c>
      <c r="O1537" s="275" t="s">
        <v>2942</v>
      </c>
      <c r="P1537" s="202">
        <v>1521</v>
      </c>
      <c r="Q1537" s="210">
        <v>10</v>
      </c>
      <c r="R1537" s="205" t="s">
        <v>1227</v>
      </c>
      <c r="S1537" s="206" t="s">
        <v>229</v>
      </c>
      <c r="T1537" s="211">
        <v>1159</v>
      </c>
      <c r="U1537" s="211">
        <v>0</v>
      </c>
      <c r="V1537" s="213">
        <v>617.41999999999996</v>
      </c>
      <c r="W1537" s="213">
        <v>53.27</v>
      </c>
    </row>
    <row r="1538" spans="1:23" ht="15" customHeight="1">
      <c r="C1538" s="3">
        <v>10</v>
      </c>
      <c r="D1538" s="15" t="s">
        <v>1135</v>
      </c>
      <c r="E1538" s="312" t="s">
        <v>95</v>
      </c>
      <c r="G1538" s="26">
        <v>0</v>
      </c>
      <c r="H1538" s="26">
        <v>0</v>
      </c>
      <c r="I1538" s="26">
        <v>0</v>
      </c>
      <c r="J1538" s="26">
        <v>0</v>
      </c>
      <c r="K1538" s="26">
        <v>0</v>
      </c>
      <c r="L1538" s="26">
        <v>83</v>
      </c>
      <c r="M1538" s="26">
        <f>250*1.33</f>
        <v>332.5</v>
      </c>
      <c r="N1538" s="26">
        <v>333</v>
      </c>
      <c r="P1538" s="202">
        <v>1522</v>
      </c>
      <c r="Q1538" s="210">
        <v>10</v>
      </c>
      <c r="R1538" s="205" t="s">
        <v>1228</v>
      </c>
      <c r="S1538" s="206" t="s">
        <v>162</v>
      </c>
      <c r="T1538" s="211">
        <v>0</v>
      </c>
      <c r="U1538" s="211">
        <v>0</v>
      </c>
      <c r="V1538" s="213">
        <v>0</v>
      </c>
      <c r="W1538" s="213">
        <v>0</v>
      </c>
    </row>
    <row r="1539" spans="1:23" ht="15" customHeight="1">
      <c r="C1539" s="3">
        <v>10</v>
      </c>
      <c r="D1539" s="15" t="s">
        <v>1136</v>
      </c>
      <c r="E1539" s="312" t="s">
        <v>97</v>
      </c>
      <c r="G1539" s="26">
        <v>1146</v>
      </c>
      <c r="H1539" s="26">
        <v>1293</v>
      </c>
      <c r="I1539" s="26">
        <v>1306</v>
      </c>
      <c r="J1539" s="26">
        <v>1542</v>
      </c>
      <c r="K1539" s="26">
        <v>1558</v>
      </c>
      <c r="L1539" s="26">
        <v>974</v>
      </c>
      <c r="M1539" s="26">
        <f>1254*1.33</f>
        <v>1667.8200000000002</v>
      </c>
      <c r="N1539" s="26">
        <v>1805</v>
      </c>
      <c r="P1539" s="202">
        <v>1523</v>
      </c>
      <c r="Q1539" s="210">
        <v>10</v>
      </c>
      <c r="R1539" s="205" t="s">
        <v>2623</v>
      </c>
      <c r="S1539" s="206"/>
      <c r="T1539" s="211"/>
      <c r="U1539" s="211"/>
      <c r="V1539" s="213"/>
      <c r="W1539" s="213"/>
    </row>
    <row r="1540" spans="1:23" ht="15" customHeight="1">
      <c r="C1540" s="3">
        <v>10</v>
      </c>
      <c r="D1540" s="15" t="s">
        <v>1137</v>
      </c>
      <c r="E1540" s="312" t="s">
        <v>99</v>
      </c>
      <c r="G1540" s="26">
        <v>59</v>
      </c>
      <c r="H1540" s="26">
        <v>117</v>
      </c>
      <c r="I1540" s="26">
        <v>117</v>
      </c>
      <c r="J1540" s="26">
        <v>117</v>
      </c>
      <c r="K1540" s="26">
        <v>118</v>
      </c>
      <c r="L1540" s="26">
        <v>114</v>
      </c>
      <c r="M1540" s="26">
        <f>114*1.33</f>
        <v>151.62</v>
      </c>
      <c r="N1540" s="26">
        <v>152</v>
      </c>
      <c r="P1540" s="202">
        <v>1524</v>
      </c>
      <c r="Q1540" s="210">
        <v>10</v>
      </c>
      <c r="R1540" s="205" t="s">
        <v>135</v>
      </c>
      <c r="S1540" s="206"/>
      <c r="T1540" s="211">
        <v>12577</v>
      </c>
      <c r="U1540" s="211">
        <v>0</v>
      </c>
      <c r="V1540" s="213">
        <v>5116.29</v>
      </c>
      <c r="W1540" s="213">
        <v>0</v>
      </c>
    </row>
    <row r="1541" spans="1:23" ht="15" customHeight="1">
      <c r="C1541" s="3">
        <v>10</v>
      </c>
      <c r="D1541" s="15" t="s">
        <v>1138</v>
      </c>
      <c r="E1541" s="312" t="s">
        <v>101</v>
      </c>
      <c r="G1541" s="26">
        <v>0</v>
      </c>
      <c r="H1541" s="26">
        <v>0</v>
      </c>
      <c r="I1541" s="26">
        <v>0</v>
      </c>
      <c r="J1541" s="26">
        <v>0</v>
      </c>
      <c r="K1541" s="26">
        <v>0</v>
      </c>
      <c r="L1541" s="26">
        <v>0</v>
      </c>
      <c r="M1541" s="26">
        <v>0</v>
      </c>
      <c r="N1541" s="26">
        <v>0</v>
      </c>
      <c r="P1541" s="202">
        <v>1525</v>
      </c>
      <c r="Q1541" s="210">
        <v>10</v>
      </c>
      <c r="R1541" s="205" t="s">
        <v>163</v>
      </c>
      <c r="S1541" s="206"/>
      <c r="T1541" s="211"/>
      <c r="U1541" s="211"/>
      <c r="V1541" s="213"/>
      <c r="W1541" s="213"/>
    </row>
    <row r="1542" spans="1:23" ht="15" customHeight="1">
      <c r="C1542" s="3">
        <v>10</v>
      </c>
      <c r="D1542" s="15" t="s">
        <v>1139</v>
      </c>
      <c r="E1542" s="312" t="s">
        <v>103</v>
      </c>
      <c r="G1542" s="26">
        <v>0</v>
      </c>
      <c r="H1542" s="26">
        <v>0</v>
      </c>
      <c r="I1542" s="26">
        <v>0</v>
      </c>
      <c r="J1542" s="26">
        <v>0</v>
      </c>
      <c r="K1542" s="26">
        <v>0</v>
      </c>
      <c r="L1542" s="26">
        <v>0</v>
      </c>
      <c r="M1542" s="26">
        <v>0</v>
      </c>
      <c r="N1542" s="26">
        <v>0</v>
      </c>
      <c r="P1542" s="202">
        <v>1526</v>
      </c>
      <c r="Q1542" s="210">
        <v>10</v>
      </c>
      <c r="R1542" s="205" t="s">
        <v>2627</v>
      </c>
      <c r="S1542" s="206"/>
      <c r="T1542" s="211"/>
      <c r="U1542" s="211"/>
      <c r="V1542" s="213"/>
      <c r="W1542" s="213"/>
    </row>
    <row r="1543" spans="1:23" ht="15" customHeight="1">
      <c r="G1543" s="26"/>
      <c r="H1543" s="26"/>
      <c r="I1543" s="26"/>
      <c r="J1543" s="26"/>
      <c r="K1543" s="26"/>
      <c r="L1543" s="26"/>
      <c r="M1543" s="26"/>
      <c r="N1543" s="26"/>
      <c r="P1543" s="202">
        <v>1527</v>
      </c>
      <c r="Q1543" s="210">
        <v>10</v>
      </c>
      <c r="R1543" s="205" t="s">
        <v>1229</v>
      </c>
      <c r="S1543" s="206" t="s">
        <v>232</v>
      </c>
      <c r="T1543" s="211">
        <v>0</v>
      </c>
      <c r="U1543" s="211">
        <v>0</v>
      </c>
      <c r="V1543" s="213">
        <v>0</v>
      </c>
      <c r="W1543" s="213">
        <v>0</v>
      </c>
    </row>
    <row r="1544" spans="1:23" s="72" customFormat="1" ht="15" customHeight="1">
      <c r="A1544" s="5" t="s">
        <v>2410</v>
      </c>
      <c r="B1544" s="5" t="s">
        <v>2317</v>
      </c>
      <c r="C1544" s="3"/>
      <c r="D1544" s="323" t="s">
        <v>2163</v>
      </c>
      <c r="E1544" s="323"/>
      <c r="F1544" s="324"/>
      <c r="G1544" s="325">
        <f>SUM(G1528:G1543)</f>
        <v>114378</v>
      </c>
      <c r="H1544" s="325">
        <f t="shared" ref="H1544:N1544" si="124">SUM(H1528:H1543)</f>
        <v>135022</v>
      </c>
      <c r="I1544" s="325">
        <f t="shared" si="124"/>
        <v>141802</v>
      </c>
      <c r="J1544" s="325">
        <f t="shared" si="124"/>
        <v>143371</v>
      </c>
      <c r="K1544" s="325">
        <f t="shared" si="124"/>
        <v>149636</v>
      </c>
      <c r="L1544" s="325">
        <f t="shared" si="124"/>
        <v>86280</v>
      </c>
      <c r="M1544" s="325">
        <f t="shared" si="124"/>
        <v>147365.12</v>
      </c>
      <c r="N1544" s="325">
        <f t="shared" si="124"/>
        <v>148855</v>
      </c>
      <c r="O1544" s="286"/>
      <c r="P1544" s="202">
        <v>1528</v>
      </c>
      <c r="Q1544" s="210">
        <v>10</v>
      </c>
      <c r="R1544" s="205" t="s">
        <v>1230</v>
      </c>
      <c r="S1544" s="206" t="s">
        <v>329</v>
      </c>
      <c r="T1544" s="211">
        <v>0</v>
      </c>
      <c r="U1544" s="211">
        <v>0</v>
      </c>
      <c r="V1544" s="213">
        <v>0</v>
      </c>
      <c r="W1544" s="213">
        <v>0</v>
      </c>
    </row>
    <row r="1545" spans="1:23" s="46" customFormat="1" ht="15" customHeight="1">
      <c r="A1545" s="2"/>
      <c r="B1545" s="2"/>
      <c r="C1545" s="3"/>
      <c r="D1545" s="47"/>
      <c r="E1545" s="47"/>
      <c r="F1545" s="191"/>
      <c r="G1545" s="48"/>
      <c r="H1545" s="48"/>
      <c r="I1545" s="48"/>
      <c r="J1545" s="48"/>
      <c r="K1545" s="48"/>
      <c r="L1545" s="48"/>
      <c r="M1545" s="48"/>
      <c r="N1545" s="48"/>
      <c r="O1545" s="289"/>
      <c r="P1545" s="202">
        <v>1529</v>
      </c>
      <c r="Q1545" s="210">
        <v>10</v>
      </c>
      <c r="R1545" s="205" t="s">
        <v>1231</v>
      </c>
      <c r="S1545" s="206" t="s">
        <v>165</v>
      </c>
      <c r="T1545" s="211">
        <v>0</v>
      </c>
      <c r="U1545" s="211">
        <v>0</v>
      </c>
      <c r="V1545" s="213">
        <v>0</v>
      </c>
      <c r="W1545" s="213">
        <v>0</v>
      </c>
    </row>
    <row r="1546" spans="1:23" ht="15" customHeight="1">
      <c r="D1546" s="47" t="s">
        <v>2164</v>
      </c>
      <c r="G1546" s="26"/>
      <c r="H1546" s="26"/>
      <c r="I1546" s="26"/>
      <c r="J1546" s="26"/>
      <c r="K1546" s="26"/>
      <c r="L1546" s="26"/>
      <c r="M1546" s="26"/>
      <c r="N1546" s="26"/>
      <c r="P1546" s="202">
        <v>1530</v>
      </c>
      <c r="Q1546" s="210">
        <v>10</v>
      </c>
      <c r="R1546" s="205" t="s">
        <v>1232</v>
      </c>
      <c r="S1546" s="206" t="s">
        <v>167</v>
      </c>
      <c r="T1546" s="211">
        <v>200</v>
      </c>
      <c r="U1546" s="211">
        <v>0</v>
      </c>
      <c r="V1546" s="213">
        <v>0</v>
      </c>
      <c r="W1546" s="213">
        <v>0</v>
      </c>
    </row>
    <row r="1547" spans="1:23" ht="15" customHeight="1">
      <c r="G1547" s="26"/>
      <c r="H1547" s="26"/>
      <c r="I1547" s="26"/>
      <c r="J1547" s="26"/>
      <c r="K1547" s="26"/>
      <c r="L1547" s="26"/>
      <c r="M1547" s="26"/>
      <c r="N1547" s="26"/>
      <c r="P1547" s="202">
        <v>1531</v>
      </c>
      <c r="Q1547" s="210">
        <v>10</v>
      </c>
      <c r="R1547" s="205" t="s">
        <v>1233</v>
      </c>
      <c r="S1547" s="206" t="s">
        <v>169</v>
      </c>
      <c r="T1547" s="211">
        <v>200</v>
      </c>
      <c r="U1547" s="211">
        <v>13.63</v>
      </c>
      <c r="V1547" s="213">
        <v>134.86000000000001</v>
      </c>
      <c r="W1547" s="213">
        <v>67.430000000000007</v>
      </c>
    </row>
    <row r="1548" spans="1:23" ht="15" customHeight="1">
      <c r="C1548" s="3">
        <v>10</v>
      </c>
      <c r="D1548" s="15" t="s">
        <v>1140</v>
      </c>
      <c r="E1548" s="312" t="s">
        <v>115</v>
      </c>
      <c r="G1548" s="26">
        <v>0</v>
      </c>
      <c r="H1548" s="26">
        <v>1004</v>
      </c>
      <c r="I1548" s="26">
        <v>840</v>
      </c>
      <c r="J1548" s="26">
        <v>1146</v>
      </c>
      <c r="K1548" s="26">
        <v>800</v>
      </c>
      <c r="L1548" s="26">
        <v>460</v>
      </c>
      <c r="M1548" s="26">
        <v>800</v>
      </c>
      <c r="N1548" s="26">
        <v>1300</v>
      </c>
      <c r="O1548" s="285"/>
      <c r="P1548" s="202">
        <v>1532</v>
      </c>
      <c r="Q1548" s="210">
        <v>10</v>
      </c>
      <c r="R1548" s="205" t="s">
        <v>1234</v>
      </c>
      <c r="S1548" s="206" t="s">
        <v>171</v>
      </c>
      <c r="T1548" s="211">
        <v>300</v>
      </c>
      <c r="U1548" s="211">
        <v>0</v>
      </c>
      <c r="V1548" s="213">
        <v>14.5</v>
      </c>
      <c r="W1548" s="213">
        <v>4.83</v>
      </c>
    </row>
    <row r="1549" spans="1:23" ht="15" customHeight="1">
      <c r="C1549" s="3">
        <v>10</v>
      </c>
      <c r="D1549" s="15" t="s">
        <v>1141</v>
      </c>
      <c r="E1549" s="312" t="s">
        <v>117</v>
      </c>
      <c r="G1549" s="26">
        <v>0</v>
      </c>
      <c r="H1549" s="26">
        <v>0</v>
      </c>
      <c r="I1549" s="26">
        <v>0</v>
      </c>
      <c r="J1549" s="26">
        <v>0</v>
      </c>
      <c r="K1549" s="26">
        <v>0</v>
      </c>
      <c r="L1549" s="26">
        <v>0</v>
      </c>
      <c r="M1549" s="26">
        <v>0</v>
      </c>
      <c r="N1549" s="26">
        <v>0</v>
      </c>
      <c r="O1549" s="285"/>
      <c r="P1549" s="202">
        <v>1533</v>
      </c>
      <c r="Q1549" s="210">
        <v>10</v>
      </c>
      <c r="R1549" s="205" t="s">
        <v>1235</v>
      </c>
      <c r="S1549" s="206" t="s">
        <v>173</v>
      </c>
      <c r="T1549" s="211">
        <v>500</v>
      </c>
      <c r="U1549" s="211">
        <v>4743.6899999999996</v>
      </c>
      <c r="V1549" s="213">
        <v>4758.7</v>
      </c>
      <c r="W1549" s="213">
        <v>951.74</v>
      </c>
    </row>
    <row r="1550" spans="1:23" ht="15" customHeight="1">
      <c r="C1550" s="3">
        <v>10</v>
      </c>
      <c r="D1550" s="15" t="s">
        <v>1142</v>
      </c>
      <c r="E1550" s="312" t="s">
        <v>119</v>
      </c>
      <c r="G1550" s="26">
        <v>634</v>
      </c>
      <c r="H1550" s="26">
        <v>1697</v>
      </c>
      <c r="I1550" s="26">
        <v>1396</v>
      </c>
      <c r="J1550" s="26">
        <v>740</v>
      </c>
      <c r="K1550" s="26">
        <v>2000</v>
      </c>
      <c r="L1550" s="26">
        <v>623</v>
      </c>
      <c r="M1550" s="26">
        <v>1068</v>
      </c>
      <c r="N1550" s="26">
        <v>1500</v>
      </c>
      <c r="O1550" s="285"/>
      <c r="P1550" s="202">
        <v>1534</v>
      </c>
      <c r="Q1550" s="210">
        <v>10</v>
      </c>
      <c r="R1550" s="205" t="s">
        <v>1236</v>
      </c>
      <c r="S1550" s="206" t="s">
        <v>175</v>
      </c>
      <c r="T1550" s="211">
        <v>0</v>
      </c>
      <c r="U1550" s="211">
        <v>0</v>
      </c>
      <c r="V1550" s="213">
        <v>0</v>
      </c>
      <c r="W1550" s="213">
        <v>0</v>
      </c>
    </row>
    <row r="1551" spans="1:23" ht="15" customHeight="1">
      <c r="C1551" s="3">
        <v>10</v>
      </c>
      <c r="D1551" s="15" t="s">
        <v>1143</v>
      </c>
      <c r="E1551" s="312" t="s">
        <v>121</v>
      </c>
      <c r="G1551" s="26">
        <v>80</v>
      </c>
      <c r="H1551" s="26">
        <v>1144</v>
      </c>
      <c r="I1551" s="26">
        <v>1604</v>
      </c>
      <c r="J1551" s="26">
        <v>539</v>
      </c>
      <c r="K1551" s="26">
        <v>1500</v>
      </c>
      <c r="L1551" s="26">
        <v>156</v>
      </c>
      <c r="M1551" s="26">
        <v>500</v>
      </c>
      <c r="N1551" s="26">
        <v>1000</v>
      </c>
      <c r="O1551" s="285"/>
      <c r="P1551" s="202">
        <v>1535</v>
      </c>
      <c r="Q1551" s="210">
        <v>10</v>
      </c>
      <c r="R1551" s="205" t="s">
        <v>1237</v>
      </c>
      <c r="S1551" s="206" t="s">
        <v>244</v>
      </c>
      <c r="T1551" s="211">
        <v>0</v>
      </c>
      <c r="U1551" s="211">
        <v>0</v>
      </c>
      <c r="V1551" s="213">
        <v>0</v>
      </c>
      <c r="W1551" s="213">
        <v>0</v>
      </c>
    </row>
    <row r="1552" spans="1:23" ht="15" customHeight="1">
      <c r="C1552" s="3">
        <v>10</v>
      </c>
      <c r="D1552" s="15" t="s">
        <v>1144</v>
      </c>
      <c r="E1552" s="312" t="s">
        <v>123</v>
      </c>
      <c r="G1552" s="26">
        <v>100</v>
      </c>
      <c r="H1552" s="26">
        <v>2880</v>
      </c>
      <c r="I1552" s="26">
        <v>177</v>
      </c>
      <c r="J1552" s="26">
        <v>319</v>
      </c>
      <c r="K1552" s="26">
        <v>300</v>
      </c>
      <c r="L1552" s="26">
        <v>424</v>
      </c>
      <c r="M1552" s="26">
        <v>500</v>
      </c>
      <c r="N1552" s="26">
        <v>700</v>
      </c>
      <c r="O1552" s="285" t="s">
        <v>2657</v>
      </c>
      <c r="P1552" s="202">
        <v>1536</v>
      </c>
      <c r="Q1552" s="210">
        <v>10</v>
      </c>
      <c r="R1552" s="205" t="s">
        <v>2623</v>
      </c>
      <c r="S1552" s="206"/>
      <c r="T1552" s="211"/>
      <c r="U1552" s="211"/>
      <c r="V1552" s="213"/>
      <c r="W1552" s="213"/>
    </row>
    <row r="1553" spans="1:23" ht="15" customHeight="1">
      <c r="C1553" s="3">
        <v>10</v>
      </c>
      <c r="D1553" s="15" t="s">
        <v>1145</v>
      </c>
      <c r="E1553" s="312" t="s">
        <v>125</v>
      </c>
      <c r="G1553" s="26">
        <v>800</v>
      </c>
      <c r="H1553" s="26">
        <v>87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85"/>
      <c r="P1553" s="202">
        <v>1537</v>
      </c>
      <c r="Q1553" s="210">
        <v>10</v>
      </c>
      <c r="R1553" s="205" t="s">
        <v>163</v>
      </c>
      <c r="S1553" s="206"/>
      <c r="T1553" s="211">
        <v>1200</v>
      </c>
      <c r="U1553" s="211">
        <v>4757.32</v>
      </c>
      <c r="V1553" s="213">
        <v>4908.0600000000004</v>
      </c>
      <c r="W1553" s="213">
        <v>0</v>
      </c>
    </row>
    <row r="1554" spans="1:23" ht="15" customHeight="1">
      <c r="C1554" s="3">
        <v>10</v>
      </c>
      <c r="D1554" s="15" t="s">
        <v>1146</v>
      </c>
      <c r="E1554" s="312" t="s">
        <v>106</v>
      </c>
      <c r="G1554" s="26">
        <v>0</v>
      </c>
      <c r="H1554" s="26">
        <v>1010</v>
      </c>
      <c r="I1554" s="26">
        <v>1676</v>
      </c>
      <c r="J1554" s="26">
        <v>2641</v>
      </c>
      <c r="K1554" s="26">
        <v>1800</v>
      </c>
      <c r="L1554" s="26">
        <v>1188</v>
      </c>
      <c r="M1554" s="26">
        <v>2050</v>
      </c>
      <c r="N1554" s="26">
        <v>2000</v>
      </c>
      <c r="O1554" s="285"/>
      <c r="P1554" s="202">
        <v>1538</v>
      </c>
      <c r="Q1554" s="210">
        <v>10</v>
      </c>
      <c r="R1554" s="205" t="s">
        <v>245</v>
      </c>
      <c r="S1554" s="206"/>
      <c r="T1554" s="211"/>
      <c r="U1554" s="211"/>
      <c r="V1554" s="213"/>
      <c r="W1554" s="213"/>
    </row>
    <row r="1555" spans="1:23" ht="15" customHeight="1">
      <c r="C1555" s="3">
        <v>10</v>
      </c>
      <c r="D1555" s="15" t="s">
        <v>1147</v>
      </c>
      <c r="E1555" s="312" t="s">
        <v>197</v>
      </c>
      <c r="G1555" s="26">
        <v>165</v>
      </c>
      <c r="H1555" s="26">
        <v>0</v>
      </c>
      <c r="I1555" s="26">
        <v>0</v>
      </c>
      <c r="J1555" s="26">
        <v>0</v>
      </c>
      <c r="K1555" s="26">
        <v>0</v>
      </c>
      <c r="L1555" s="26">
        <v>0</v>
      </c>
      <c r="M1555" s="26">
        <v>0</v>
      </c>
      <c r="N1555" s="26">
        <v>0</v>
      </c>
      <c r="O1555" s="285"/>
      <c r="P1555" s="202">
        <v>1539</v>
      </c>
      <c r="Q1555" s="210">
        <v>10</v>
      </c>
      <c r="R1555" s="205" t="s">
        <v>2628</v>
      </c>
      <c r="S1555" s="206"/>
      <c r="T1555" s="211"/>
      <c r="U1555" s="211"/>
      <c r="V1555" s="213"/>
      <c r="W1555" s="213"/>
    </row>
    <row r="1556" spans="1:23" ht="15" customHeight="1">
      <c r="C1556" s="3">
        <v>10</v>
      </c>
      <c r="D1556" s="15" t="s">
        <v>1148</v>
      </c>
      <c r="E1556" s="312" t="s">
        <v>128</v>
      </c>
      <c r="G1556" s="26">
        <v>7</v>
      </c>
      <c r="H1556" s="26">
        <v>0</v>
      </c>
      <c r="I1556" s="26">
        <v>0</v>
      </c>
      <c r="J1556" s="26">
        <v>0</v>
      </c>
      <c r="K1556" s="26">
        <v>0</v>
      </c>
      <c r="L1556" s="26">
        <v>0</v>
      </c>
      <c r="M1556" s="26">
        <v>0</v>
      </c>
      <c r="N1556" s="26">
        <v>0</v>
      </c>
      <c r="O1556" s="285"/>
      <c r="P1556" s="202">
        <v>1540</v>
      </c>
      <c r="Q1556" s="210">
        <v>10</v>
      </c>
      <c r="R1556" s="205" t="s">
        <v>1238</v>
      </c>
      <c r="S1556" s="206" t="s">
        <v>329</v>
      </c>
      <c r="T1556" s="211">
        <v>0</v>
      </c>
      <c r="U1556" s="211">
        <v>0</v>
      </c>
      <c r="V1556" s="213">
        <v>0</v>
      </c>
      <c r="W1556" s="213">
        <v>0</v>
      </c>
    </row>
    <row r="1557" spans="1:23" ht="15" customHeight="1">
      <c r="C1557" s="3">
        <v>10</v>
      </c>
      <c r="D1557" s="15" t="s">
        <v>1149</v>
      </c>
      <c r="E1557" s="312" t="s">
        <v>200</v>
      </c>
      <c r="G1557" s="26">
        <v>0</v>
      </c>
      <c r="H1557" s="26">
        <v>0</v>
      </c>
      <c r="I1557" s="26">
        <v>0</v>
      </c>
      <c r="J1557" s="26">
        <v>0</v>
      </c>
      <c r="K1557" s="26">
        <v>0</v>
      </c>
      <c r="L1557" s="26">
        <v>0</v>
      </c>
      <c r="M1557" s="26">
        <v>0</v>
      </c>
      <c r="N1557" s="26">
        <v>0</v>
      </c>
      <c r="O1557" s="285"/>
      <c r="P1557" s="202">
        <v>1541</v>
      </c>
      <c r="Q1557" s="210">
        <v>10</v>
      </c>
      <c r="R1557" s="205" t="s">
        <v>1239</v>
      </c>
      <c r="S1557" s="206" t="s">
        <v>165</v>
      </c>
      <c r="T1557" s="211">
        <v>0</v>
      </c>
      <c r="U1557" s="211">
        <v>0</v>
      </c>
      <c r="V1557" s="213">
        <v>0</v>
      </c>
      <c r="W1557" s="213">
        <v>0</v>
      </c>
    </row>
    <row r="1558" spans="1:23" ht="15" customHeight="1">
      <c r="C1558" s="3">
        <v>10</v>
      </c>
      <c r="D1558" s="15" t="s">
        <v>1150</v>
      </c>
      <c r="E1558" s="312" t="s">
        <v>202</v>
      </c>
      <c r="G1558" s="26">
        <v>0</v>
      </c>
      <c r="H1558" s="26">
        <v>0</v>
      </c>
      <c r="I1558" s="26">
        <v>0</v>
      </c>
      <c r="J1558" s="26">
        <v>0</v>
      </c>
      <c r="K1558" s="26">
        <v>0</v>
      </c>
      <c r="L1558" s="26">
        <v>0</v>
      </c>
      <c r="M1558" s="26">
        <v>0</v>
      </c>
      <c r="N1558" s="26">
        <v>0</v>
      </c>
      <c r="O1558" s="285"/>
      <c r="P1558" s="202">
        <v>1542</v>
      </c>
      <c r="Q1558" s="210">
        <v>10</v>
      </c>
      <c r="R1558" s="205" t="s">
        <v>1240</v>
      </c>
      <c r="S1558" s="206" t="s">
        <v>167</v>
      </c>
      <c r="T1558" s="211">
        <v>0</v>
      </c>
      <c r="U1558" s="211">
        <v>0</v>
      </c>
      <c r="V1558" s="213">
        <v>0</v>
      </c>
      <c r="W1558" s="213">
        <v>0</v>
      </c>
    </row>
    <row r="1559" spans="1:23" ht="15" customHeight="1">
      <c r="C1559" s="3">
        <v>10</v>
      </c>
      <c r="D1559" s="15" t="s">
        <v>1151</v>
      </c>
      <c r="E1559" s="312" t="s">
        <v>130</v>
      </c>
      <c r="G1559" s="26">
        <v>1836</v>
      </c>
      <c r="H1559" s="26">
        <v>46</v>
      </c>
      <c r="I1559" s="26">
        <v>106</v>
      </c>
      <c r="J1559" s="26">
        <v>97</v>
      </c>
      <c r="K1559" s="26">
        <v>100</v>
      </c>
      <c r="L1559" s="26">
        <v>46</v>
      </c>
      <c r="M1559" s="26">
        <v>100</v>
      </c>
      <c r="N1559" s="26">
        <v>100</v>
      </c>
      <c r="O1559" s="285"/>
      <c r="P1559" s="202">
        <v>1543</v>
      </c>
      <c r="Q1559" s="210">
        <v>10</v>
      </c>
      <c r="R1559" s="205" t="s">
        <v>1241</v>
      </c>
      <c r="S1559" s="206" t="s">
        <v>247</v>
      </c>
      <c r="T1559" s="211">
        <v>0</v>
      </c>
      <c r="U1559" s="211">
        <v>0</v>
      </c>
      <c r="V1559" s="213">
        <v>0</v>
      </c>
      <c r="W1559" s="213">
        <v>0</v>
      </c>
    </row>
    <row r="1560" spans="1:23" ht="15" customHeight="1">
      <c r="C1560" s="3">
        <v>10</v>
      </c>
      <c r="D1560" s="15" t="s">
        <v>1152</v>
      </c>
      <c r="E1560" s="312" t="s">
        <v>132</v>
      </c>
      <c r="G1560" s="26">
        <v>69</v>
      </c>
      <c r="H1560" s="26">
        <v>949</v>
      </c>
      <c r="I1560" s="26">
        <v>626</v>
      </c>
      <c r="J1560" s="26">
        <v>77</v>
      </c>
      <c r="K1560" s="26">
        <v>1800</v>
      </c>
      <c r="L1560" s="26">
        <v>2001</v>
      </c>
      <c r="M1560" s="26">
        <v>3430</v>
      </c>
      <c r="N1560" s="26">
        <v>3500</v>
      </c>
      <c r="O1560" s="285"/>
      <c r="P1560" s="202">
        <v>1544</v>
      </c>
      <c r="Q1560" s="210">
        <v>10</v>
      </c>
      <c r="R1560" s="205" t="s">
        <v>1242</v>
      </c>
      <c r="S1560" s="206" t="s">
        <v>461</v>
      </c>
      <c r="T1560" s="211">
        <v>0</v>
      </c>
      <c r="U1560" s="211">
        <v>0</v>
      </c>
      <c r="V1560" s="213">
        <v>0</v>
      </c>
      <c r="W1560" s="213">
        <v>0</v>
      </c>
    </row>
    <row r="1561" spans="1:23" ht="15" customHeight="1">
      <c r="C1561" s="3">
        <v>10</v>
      </c>
      <c r="D1561" s="15" t="s">
        <v>1153</v>
      </c>
      <c r="E1561" s="312" t="s">
        <v>206</v>
      </c>
      <c r="G1561" s="26">
        <v>0</v>
      </c>
      <c r="H1561" s="26">
        <v>98</v>
      </c>
      <c r="I1561" s="26">
        <v>138</v>
      </c>
      <c r="J1561" s="26">
        <v>92</v>
      </c>
      <c r="K1561" s="26">
        <v>0</v>
      </c>
      <c r="L1561" s="26">
        <v>55</v>
      </c>
      <c r="M1561" s="26">
        <v>0</v>
      </c>
      <c r="N1561" s="26">
        <v>100</v>
      </c>
      <c r="O1561" s="285"/>
      <c r="P1561" s="202">
        <v>1545</v>
      </c>
      <c r="Q1561" s="210">
        <v>10</v>
      </c>
      <c r="R1561" s="205" t="s">
        <v>1243</v>
      </c>
      <c r="S1561" s="206" t="s">
        <v>382</v>
      </c>
      <c r="T1561" s="211">
        <v>0</v>
      </c>
      <c r="U1561" s="211">
        <v>0</v>
      </c>
      <c r="V1561" s="213">
        <v>0</v>
      </c>
      <c r="W1561" s="213">
        <v>0</v>
      </c>
    </row>
    <row r="1562" spans="1:23" ht="15" customHeight="1">
      <c r="C1562" s="3">
        <v>10</v>
      </c>
      <c r="D1562" s="15" t="s">
        <v>1154</v>
      </c>
      <c r="E1562" s="312" t="s">
        <v>134</v>
      </c>
      <c r="G1562" s="26">
        <v>0</v>
      </c>
      <c r="H1562" s="26">
        <v>0</v>
      </c>
      <c r="I1562" s="26">
        <v>0</v>
      </c>
      <c r="J1562" s="26">
        <v>0</v>
      </c>
      <c r="K1562" s="26">
        <v>0</v>
      </c>
      <c r="L1562" s="26">
        <v>0</v>
      </c>
      <c r="M1562" s="26">
        <v>0</v>
      </c>
      <c r="N1562" s="26">
        <v>0</v>
      </c>
      <c r="O1562" s="285"/>
      <c r="P1562" s="202">
        <v>1546</v>
      </c>
      <c r="Q1562" s="210">
        <v>10</v>
      </c>
      <c r="R1562" s="205" t="s">
        <v>1244</v>
      </c>
      <c r="S1562" s="206" t="s">
        <v>173</v>
      </c>
      <c r="T1562" s="211">
        <v>0</v>
      </c>
      <c r="U1562" s="211">
        <v>0</v>
      </c>
      <c r="V1562" s="213">
        <v>0</v>
      </c>
      <c r="W1562" s="213">
        <v>0</v>
      </c>
    </row>
    <row r="1563" spans="1:23" ht="15" customHeight="1">
      <c r="G1563" s="26"/>
      <c r="H1563" s="26"/>
      <c r="I1563" s="26"/>
      <c r="J1563" s="26"/>
      <c r="K1563" s="26"/>
      <c r="L1563" s="26"/>
      <c r="M1563" s="26"/>
      <c r="N1563" s="26"/>
      <c r="O1563" s="293"/>
      <c r="P1563" s="202">
        <v>1547</v>
      </c>
      <c r="Q1563" s="210">
        <v>10</v>
      </c>
      <c r="R1563" s="205" t="s">
        <v>1245</v>
      </c>
      <c r="S1563" s="206" t="s">
        <v>244</v>
      </c>
      <c r="T1563" s="211">
        <v>0</v>
      </c>
      <c r="U1563" s="211">
        <v>0</v>
      </c>
      <c r="V1563" s="213">
        <v>0</v>
      </c>
      <c r="W1563" s="213">
        <v>0</v>
      </c>
    </row>
    <row r="1564" spans="1:23" s="200" customFormat="1" ht="15" customHeight="1">
      <c r="A1564" s="196" t="s">
        <v>104</v>
      </c>
      <c r="B1564" s="196" t="s">
        <v>2317</v>
      </c>
      <c r="C1564" s="75"/>
      <c r="D1564" s="323" t="s">
        <v>2165</v>
      </c>
      <c r="E1564" s="323"/>
      <c r="F1564" s="324"/>
      <c r="G1564" s="325">
        <f>SUM(G1546:G1563)</f>
        <v>3691</v>
      </c>
      <c r="H1564" s="325">
        <f t="shared" ref="H1564:N1564" si="125">SUM(H1546:H1563)</f>
        <v>8915</v>
      </c>
      <c r="I1564" s="325">
        <f t="shared" si="125"/>
        <v>6563</v>
      </c>
      <c r="J1564" s="325">
        <f t="shared" si="125"/>
        <v>5651</v>
      </c>
      <c r="K1564" s="325">
        <f t="shared" si="125"/>
        <v>8300</v>
      </c>
      <c r="L1564" s="325">
        <f t="shared" si="125"/>
        <v>4953</v>
      </c>
      <c r="M1564" s="325">
        <f t="shared" si="125"/>
        <v>8448</v>
      </c>
      <c r="N1564" s="325">
        <f t="shared" si="125"/>
        <v>10200</v>
      </c>
      <c r="O1564" s="287"/>
      <c r="P1564" s="202">
        <v>1548</v>
      </c>
      <c r="Q1564" s="210">
        <v>10</v>
      </c>
      <c r="R1564" s="205" t="s">
        <v>2623</v>
      </c>
      <c r="S1564" s="206"/>
      <c r="T1564" s="211"/>
      <c r="U1564" s="211"/>
      <c r="V1564" s="213"/>
      <c r="W1564" s="213"/>
    </row>
    <row r="1565" spans="1:23" s="46" customFormat="1" ht="15" customHeight="1">
      <c r="A1565" s="2"/>
      <c r="B1565" s="2"/>
      <c r="C1565" s="3"/>
      <c r="D1565" s="47"/>
      <c r="E1565" s="47"/>
      <c r="F1565" s="191"/>
      <c r="G1565" s="48"/>
      <c r="H1565" s="48"/>
      <c r="I1565" s="48"/>
      <c r="J1565" s="48"/>
      <c r="K1565" s="48"/>
      <c r="L1565" s="48"/>
      <c r="M1565" s="48"/>
      <c r="N1565" s="48"/>
      <c r="O1565" s="289"/>
      <c r="P1565" s="202">
        <v>1549</v>
      </c>
      <c r="Q1565" s="210">
        <v>10</v>
      </c>
      <c r="R1565" s="205" t="s">
        <v>245</v>
      </c>
      <c r="S1565" s="206"/>
      <c r="T1565" s="211">
        <v>0</v>
      </c>
      <c r="U1565" s="211">
        <v>0</v>
      </c>
      <c r="V1565" s="213">
        <v>0</v>
      </c>
      <c r="W1565" s="213">
        <v>0</v>
      </c>
    </row>
    <row r="1566" spans="1:23" ht="15" customHeight="1">
      <c r="D1566" s="47" t="s">
        <v>2166</v>
      </c>
      <c r="G1566" s="26"/>
      <c r="H1566" s="26"/>
      <c r="I1566" s="26"/>
      <c r="J1566" s="26"/>
      <c r="K1566" s="26"/>
      <c r="L1566" s="26"/>
      <c r="M1566" s="26"/>
      <c r="N1566" s="26"/>
      <c r="P1566" s="202">
        <v>1550</v>
      </c>
      <c r="Q1566" s="210">
        <v>10</v>
      </c>
      <c r="R1566" s="205" t="s">
        <v>2623</v>
      </c>
      <c r="S1566" s="206"/>
      <c r="T1566" s="211"/>
      <c r="U1566" s="211"/>
      <c r="V1566" s="213"/>
      <c r="W1566" s="213"/>
    </row>
    <row r="1567" spans="1:23" ht="15" customHeight="1">
      <c r="G1567" s="26"/>
      <c r="H1567" s="26"/>
      <c r="I1567" s="26"/>
      <c r="J1567" s="26"/>
      <c r="K1567" s="26"/>
      <c r="L1567" s="26"/>
      <c r="M1567" s="26"/>
      <c r="N1567" s="26"/>
      <c r="P1567" s="202">
        <v>1551</v>
      </c>
      <c r="Q1567" s="210">
        <v>10</v>
      </c>
      <c r="R1567" s="205" t="s">
        <v>16</v>
      </c>
      <c r="S1567" s="206"/>
      <c r="T1567" s="211">
        <v>60749</v>
      </c>
      <c r="U1567" s="211">
        <v>8563.7800000000007</v>
      </c>
      <c r="V1567" s="213">
        <v>39966.550000000003</v>
      </c>
      <c r="W1567" s="213">
        <v>65.790000000000006</v>
      </c>
    </row>
    <row r="1568" spans="1:23" ht="15" customHeight="1">
      <c r="C1568" s="3">
        <v>10</v>
      </c>
      <c r="D1568" s="15" t="s">
        <v>1155</v>
      </c>
      <c r="E1568" s="312" t="s">
        <v>137</v>
      </c>
      <c r="G1568" s="26">
        <v>1068</v>
      </c>
      <c r="H1568" s="26">
        <v>1150</v>
      </c>
      <c r="I1568" s="26">
        <v>1368</v>
      </c>
      <c r="J1568" s="26">
        <v>1910</v>
      </c>
      <c r="K1568" s="26">
        <v>1800</v>
      </c>
      <c r="L1568" s="26">
        <v>1217</v>
      </c>
      <c r="M1568" s="26">
        <v>2086</v>
      </c>
      <c r="N1568" s="26">
        <v>2200</v>
      </c>
      <c r="O1568" s="285"/>
      <c r="P1568" s="202">
        <v>1552</v>
      </c>
      <c r="Q1568" s="210">
        <v>10</v>
      </c>
      <c r="R1568" s="205" t="s">
        <v>2621</v>
      </c>
      <c r="S1568" s="206"/>
      <c r="T1568" s="211"/>
      <c r="U1568" s="211"/>
      <c r="V1568" s="213"/>
      <c r="W1568" s="213"/>
    </row>
    <row r="1569" spans="1:23" ht="15" customHeight="1">
      <c r="C1569" s="3">
        <v>10</v>
      </c>
      <c r="D1569" s="15" t="s">
        <v>1156</v>
      </c>
      <c r="E1569" s="312" t="s">
        <v>216</v>
      </c>
      <c r="G1569" s="26">
        <v>2082</v>
      </c>
      <c r="H1569" s="26">
        <v>555</v>
      </c>
      <c r="I1569" s="26">
        <v>1400</v>
      </c>
      <c r="J1569" s="26">
        <v>700</v>
      </c>
      <c r="K1569" s="26">
        <v>0</v>
      </c>
      <c r="L1569" s="26">
        <v>3650</v>
      </c>
      <c r="M1569" s="26">
        <v>5000</v>
      </c>
      <c r="N1569" s="26">
        <v>5000</v>
      </c>
      <c r="O1569" s="285" t="s">
        <v>2658</v>
      </c>
      <c r="P1569" s="202">
        <v>1553</v>
      </c>
      <c r="Q1569" s="210">
        <v>10</v>
      </c>
      <c r="R1569" s="205" t="s">
        <v>2622</v>
      </c>
      <c r="S1569" s="206"/>
      <c r="T1569" s="211"/>
      <c r="U1569" s="211"/>
      <c r="V1569" s="213"/>
      <c r="W1569" s="213"/>
    </row>
    <row r="1570" spans="1:23" ht="15" customHeight="1">
      <c r="C1570" s="3">
        <v>10</v>
      </c>
      <c r="D1570" s="15" t="s">
        <v>1157</v>
      </c>
      <c r="E1570" s="312" t="s">
        <v>139</v>
      </c>
      <c r="G1570" s="26">
        <v>3006</v>
      </c>
      <c r="H1570" s="26">
        <v>6603</v>
      </c>
      <c r="I1570" s="26">
        <v>7921</v>
      </c>
      <c r="J1570" s="26">
        <v>13013</v>
      </c>
      <c r="K1570" s="26">
        <v>8000</v>
      </c>
      <c r="L1570" s="26">
        <v>-635</v>
      </c>
      <c r="M1570" s="26">
        <v>2000</v>
      </c>
      <c r="N1570" s="26">
        <v>6000</v>
      </c>
      <c r="O1570" s="285" t="s">
        <v>2847</v>
      </c>
      <c r="P1570" s="202">
        <v>1554</v>
      </c>
      <c r="Q1570" s="210">
        <v>10</v>
      </c>
      <c r="R1570" s="205" t="s">
        <v>1246</v>
      </c>
      <c r="S1570" s="206" t="s">
        <v>1247</v>
      </c>
      <c r="T1570" s="211">
        <v>0</v>
      </c>
      <c r="U1570" s="211">
        <v>0</v>
      </c>
      <c r="V1570" s="213">
        <v>0</v>
      </c>
      <c r="W1570" s="213">
        <v>0</v>
      </c>
    </row>
    <row r="1571" spans="1:23" ht="15" customHeight="1">
      <c r="C1571" s="3">
        <v>10</v>
      </c>
      <c r="D1571" s="15" t="s">
        <v>1158</v>
      </c>
      <c r="E1571" s="312" t="s">
        <v>145</v>
      </c>
      <c r="G1571" s="26">
        <v>0</v>
      </c>
      <c r="H1571" s="26">
        <v>0</v>
      </c>
      <c r="I1571" s="26">
        <v>0</v>
      </c>
      <c r="J1571" s="26">
        <v>0</v>
      </c>
      <c r="K1571" s="26">
        <v>0</v>
      </c>
      <c r="L1571" s="26">
        <v>0</v>
      </c>
      <c r="M1571" s="26">
        <v>0</v>
      </c>
      <c r="N1571" s="26">
        <v>0</v>
      </c>
      <c r="O1571" s="285"/>
      <c r="P1571" s="202">
        <v>1555</v>
      </c>
      <c r="Q1571" s="210">
        <v>10</v>
      </c>
      <c r="R1571" s="205" t="s">
        <v>1248</v>
      </c>
      <c r="S1571" s="206" t="s">
        <v>1249</v>
      </c>
      <c r="T1571" s="211">
        <v>0</v>
      </c>
      <c r="U1571" s="211">
        <v>0</v>
      </c>
      <c r="V1571" s="213">
        <v>0</v>
      </c>
      <c r="W1571" s="213">
        <v>0</v>
      </c>
    </row>
    <row r="1572" spans="1:23" ht="15" customHeight="1">
      <c r="C1572" s="3">
        <v>10</v>
      </c>
      <c r="D1572" s="15" t="s">
        <v>1159</v>
      </c>
      <c r="E1572" s="312" t="s">
        <v>147</v>
      </c>
      <c r="G1572" s="26">
        <v>0</v>
      </c>
      <c r="H1572" s="26">
        <v>0</v>
      </c>
      <c r="I1572" s="26">
        <v>0</v>
      </c>
      <c r="J1572" s="26">
        <v>0</v>
      </c>
      <c r="K1572" s="26">
        <v>0</v>
      </c>
      <c r="L1572" s="26">
        <v>0</v>
      </c>
      <c r="M1572" s="26">
        <v>0</v>
      </c>
      <c r="N1572" s="26">
        <v>0</v>
      </c>
      <c r="O1572" s="285"/>
      <c r="P1572" s="202">
        <v>1556</v>
      </c>
      <c r="Q1572" s="210">
        <v>10</v>
      </c>
      <c r="R1572" s="205" t="s">
        <v>2623</v>
      </c>
      <c r="S1572" s="206"/>
      <c r="T1572" s="211"/>
      <c r="U1572" s="211"/>
      <c r="V1572" s="213"/>
      <c r="W1572" s="213"/>
    </row>
    <row r="1573" spans="1:23" ht="15" customHeight="1">
      <c r="C1573" s="3">
        <v>10</v>
      </c>
      <c r="D1573" s="15" t="s">
        <v>1160</v>
      </c>
      <c r="E1573" s="312" t="s">
        <v>149</v>
      </c>
      <c r="G1573" s="26">
        <v>27452</v>
      </c>
      <c r="H1573" s="26">
        <v>90204</v>
      </c>
      <c r="I1573" s="26">
        <v>33571</v>
      </c>
      <c r="J1573" s="26">
        <v>35876</v>
      </c>
      <c r="K1573" s="26">
        <v>25000</v>
      </c>
      <c r="L1573" s="26">
        <v>935</v>
      </c>
      <c r="M1573" s="26">
        <v>10000</v>
      </c>
      <c r="N1573" s="26">
        <v>15000</v>
      </c>
      <c r="O1573" s="285" t="s">
        <v>3032</v>
      </c>
      <c r="P1573" s="202">
        <v>1557</v>
      </c>
      <c r="Q1573" s="210">
        <v>10</v>
      </c>
      <c r="R1573" s="205" t="s">
        <v>2621</v>
      </c>
      <c r="S1573" s="206"/>
      <c r="T1573" s="211">
        <v>0</v>
      </c>
      <c r="U1573" s="211">
        <v>0</v>
      </c>
      <c r="V1573" s="213">
        <v>0</v>
      </c>
      <c r="W1573" s="213">
        <v>0</v>
      </c>
    </row>
    <row r="1574" spans="1:23" ht="15" customHeight="1">
      <c r="C1574" s="3">
        <v>10</v>
      </c>
      <c r="D1574" s="15" t="s">
        <v>1161</v>
      </c>
      <c r="E1574" s="312" t="s">
        <v>151</v>
      </c>
      <c r="G1574" s="26">
        <v>741</v>
      </c>
      <c r="H1574" s="26">
        <v>930</v>
      </c>
      <c r="I1574" s="26">
        <v>872</v>
      </c>
      <c r="J1574" s="26">
        <v>800</v>
      </c>
      <c r="K1574" s="26">
        <v>650</v>
      </c>
      <c r="L1574" s="26">
        <v>155</v>
      </c>
      <c r="M1574" s="26">
        <v>600</v>
      </c>
      <c r="N1574" s="26">
        <v>650</v>
      </c>
      <c r="O1574" s="285"/>
      <c r="P1574" s="202">
        <v>1558</v>
      </c>
      <c r="Q1574" s="210">
        <v>10</v>
      </c>
      <c r="R1574" s="205" t="s">
        <v>104</v>
      </c>
      <c r="S1574" s="206"/>
      <c r="T1574" s="211"/>
      <c r="U1574" s="211"/>
      <c r="V1574" s="213"/>
      <c r="W1574" s="213"/>
    </row>
    <row r="1575" spans="1:23" ht="15" customHeight="1">
      <c r="C1575" s="3">
        <v>10</v>
      </c>
      <c r="D1575" s="15" t="s">
        <v>1162</v>
      </c>
      <c r="E1575" s="312" t="s">
        <v>153</v>
      </c>
      <c r="G1575" s="26">
        <v>2659</v>
      </c>
      <c r="H1575" s="26">
        <v>1385</v>
      </c>
      <c r="I1575" s="26">
        <v>1841</v>
      </c>
      <c r="J1575" s="26">
        <v>710</v>
      </c>
      <c r="K1575" s="26">
        <v>4000</v>
      </c>
      <c r="L1575" s="26">
        <v>1062</v>
      </c>
      <c r="M1575" s="26">
        <v>2500</v>
      </c>
      <c r="N1575" s="26">
        <v>4000</v>
      </c>
      <c r="O1575" s="285"/>
      <c r="P1575" s="202">
        <v>1559</v>
      </c>
      <c r="Q1575" s="210">
        <v>10</v>
      </c>
      <c r="R1575" s="205" t="s">
        <v>2624</v>
      </c>
      <c r="S1575" s="206"/>
      <c r="T1575" s="211"/>
      <c r="U1575" s="211"/>
      <c r="V1575" s="213"/>
      <c r="W1575" s="213"/>
    </row>
    <row r="1576" spans="1:23" ht="15" customHeight="1">
      <c r="C1576" s="3">
        <v>10</v>
      </c>
      <c r="D1576" s="15" t="s">
        <v>1163</v>
      </c>
      <c r="E1576" s="312" t="s">
        <v>155</v>
      </c>
      <c r="G1576" s="26">
        <v>-19</v>
      </c>
      <c r="H1576" s="26">
        <v>-140</v>
      </c>
      <c r="I1576" s="26">
        <v>0</v>
      </c>
      <c r="J1576" s="26">
        <v>0</v>
      </c>
      <c r="K1576" s="26">
        <v>0</v>
      </c>
      <c r="L1576" s="26">
        <v>0</v>
      </c>
      <c r="M1576" s="26">
        <v>0</v>
      </c>
      <c r="N1576" s="26">
        <v>0</v>
      </c>
      <c r="O1576" s="285"/>
      <c r="P1576" s="202">
        <v>1560</v>
      </c>
      <c r="Q1576" s="210">
        <v>10</v>
      </c>
      <c r="R1576" s="205" t="s">
        <v>1250</v>
      </c>
      <c r="S1576" s="206" t="s">
        <v>106</v>
      </c>
      <c r="T1576" s="211">
        <v>0</v>
      </c>
      <c r="U1576" s="211">
        <v>0</v>
      </c>
      <c r="V1576" s="213">
        <v>0</v>
      </c>
      <c r="W1576" s="213">
        <v>0</v>
      </c>
    </row>
    <row r="1577" spans="1:23" ht="15" customHeight="1">
      <c r="C1577" s="3">
        <v>10</v>
      </c>
      <c r="D1577" s="15" t="s">
        <v>1164</v>
      </c>
      <c r="E1577" s="312" t="s">
        <v>159</v>
      </c>
      <c r="G1577" s="26">
        <v>0</v>
      </c>
      <c r="H1577" s="26">
        <v>0</v>
      </c>
      <c r="I1577" s="26">
        <v>0</v>
      </c>
      <c r="J1577" s="26">
        <v>0</v>
      </c>
      <c r="K1577" s="26">
        <v>0</v>
      </c>
      <c r="L1577" s="26">
        <v>0</v>
      </c>
      <c r="M1577" s="26">
        <v>0</v>
      </c>
      <c r="N1577" s="26">
        <v>0</v>
      </c>
      <c r="O1577" s="285"/>
      <c r="P1577" s="202">
        <v>1561</v>
      </c>
      <c r="Q1577" s="210">
        <v>10</v>
      </c>
      <c r="R1577" s="205" t="s">
        <v>2623</v>
      </c>
      <c r="S1577" s="206"/>
      <c r="T1577" s="211"/>
      <c r="U1577" s="211"/>
      <c r="V1577" s="213"/>
      <c r="W1577" s="213"/>
    </row>
    <row r="1578" spans="1:23" ht="15" customHeight="1">
      <c r="C1578" s="3">
        <v>10</v>
      </c>
      <c r="D1578" s="15" t="s">
        <v>1165</v>
      </c>
      <c r="E1578" s="312" t="s">
        <v>229</v>
      </c>
      <c r="G1578" s="26">
        <v>0</v>
      </c>
      <c r="H1578" s="26">
        <v>0</v>
      </c>
      <c r="I1578" s="26">
        <v>0</v>
      </c>
      <c r="J1578" s="26">
        <v>0</v>
      </c>
      <c r="K1578" s="26">
        <v>0</v>
      </c>
      <c r="L1578" s="26">
        <v>0</v>
      </c>
      <c r="M1578" s="26">
        <v>0</v>
      </c>
      <c r="N1578" s="26">
        <v>0</v>
      </c>
      <c r="O1578" s="285"/>
      <c r="P1578" s="202">
        <v>1562</v>
      </c>
      <c r="Q1578" s="210">
        <v>10</v>
      </c>
      <c r="R1578" s="205" t="s">
        <v>104</v>
      </c>
      <c r="S1578" s="206"/>
      <c r="T1578" s="211">
        <v>0</v>
      </c>
      <c r="U1578" s="211">
        <v>0</v>
      </c>
      <c r="V1578" s="213">
        <v>0</v>
      </c>
      <c r="W1578" s="213">
        <v>0</v>
      </c>
    </row>
    <row r="1579" spans="1:23" ht="15" customHeight="1">
      <c r="C1579" s="3">
        <v>10</v>
      </c>
      <c r="D1579" s="15" t="s">
        <v>1166</v>
      </c>
      <c r="E1579" s="312" t="s">
        <v>162</v>
      </c>
      <c r="G1579" s="26">
        <v>724</v>
      </c>
      <c r="H1579" s="26">
        <v>171</v>
      </c>
      <c r="I1579" s="26">
        <v>24</v>
      </c>
      <c r="J1579" s="26">
        <v>130</v>
      </c>
      <c r="K1579" s="26">
        <v>300</v>
      </c>
      <c r="L1579" s="26">
        <v>132</v>
      </c>
      <c r="M1579" s="26">
        <v>300</v>
      </c>
      <c r="N1579" s="26">
        <v>300</v>
      </c>
      <c r="O1579" s="285"/>
      <c r="P1579" s="202">
        <v>1563</v>
      </c>
      <c r="Q1579" s="210">
        <v>10</v>
      </c>
      <c r="R1579" s="205" t="s">
        <v>135</v>
      </c>
      <c r="S1579" s="206"/>
      <c r="T1579" s="211"/>
      <c r="U1579" s="211"/>
      <c r="V1579" s="213"/>
      <c r="W1579" s="213"/>
    </row>
    <row r="1580" spans="1:23" ht="15" customHeight="1">
      <c r="G1580" s="26"/>
      <c r="H1580" s="26"/>
      <c r="I1580" s="26"/>
      <c r="J1580" s="26"/>
      <c r="K1580" s="26"/>
      <c r="L1580" s="26"/>
      <c r="M1580" s="26"/>
      <c r="N1580" s="26"/>
      <c r="P1580" s="202">
        <v>1564</v>
      </c>
      <c r="Q1580" s="210">
        <v>10</v>
      </c>
      <c r="R1580" s="205" t="s">
        <v>2626</v>
      </c>
      <c r="S1580" s="206"/>
      <c r="T1580" s="211"/>
      <c r="U1580" s="211"/>
      <c r="V1580" s="213"/>
      <c r="W1580" s="213"/>
    </row>
    <row r="1581" spans="1:23" s="22" customFormat="1" ht="15" customHeight="1">
      <c r="A1581" s="2" t="s">
        <v>135</v>
      </c>
      <c r="B1581" s="2" t="s">
        <v>2317</v>
      </c>
      <c r="C1581" s="3"/>
      <c r="D1581" s="323" t="s">
        <v>2167</v>
      </c>
      <c r="E1581" s="323"/>
      <c r="F1581" s="324"/>
      <c r="G1581" s="325">
        <f>SUM(G1566:G1580)</f>
        <v>37713</v>
      </c>
      <c r="H1581" s="325">
        <f t="shared" ref="H1581:N1581" si="126">SUM(H1566:H1580)</f>
        <v>100858</v>
      </c>
      <c r="I1581" s="325">
        <f t="shared" si="126"/>
        <v>46997</v>
      </c>
      <c r="J1581" s="325">
        <f t="shared" si="126"/>
        <v>53139</v>
      </c>
      <c r="K1581" s="325">
        <f t="shared" si="126"/>
        <v>39750</v>
      </c>
      <c r="L1581" s="325">
        <f t="shared" si="126"/>
        <v>6516</v>
      </c>
      <c r="M1581" s="325">
        <f t="shared" si="126"/>
        <v>22486</v>
      </c>
      <c r="N1581" s="325">
        <f t="shared" si="126"/>
        <v>33150</v>
      </c>
      <c r="O1581" s="290"/>
      <c r="P1581" s="202">
        <v>1565</v>
      </c>
      <c r="Q1581" s="210">
        <v>10</v>
      </c>
      <c r="R1581" s="205" t="s">
        <v>1251</v>
      </c>
      <c r="S1581" s="206" t="s">
        <v>139</v>
      </c>
      <c r="T1581" s="211">
        <v>5000</v>
      </c>
      <c r="U1581" s="211">
        <v>60</v>
      </c>
      <c r="V1581" s="213">
        <v>8131.91</v>
      </c>
      <c r="W1581" s="213">
        <v>162.63999999999999</v>
      </c>
    </row>
    <row r="1582" spans="1:23" s="46" customFormat="1" ht="15" customHeight="1">
      <c r="A1582" s="2"/>
      <c r="B1582" s="2"/>
      <c r="C1582" s="3"/>
      <c r="D1582" s="47"/>
      <c r="E1582" s="47"/>
      <c r="F1582" s="191"/>
      <c r="G1582" s="48"/>
      <c r="H1582" s="48"/>
      <c r="I1582" s="48"/>
      <c r="J1582" s="48"/>
      <c r="K1582" s="48"/>
      <c r="L1582" s="48"/>
      <c r="M1582" s="48"/>
      <c r="N1582" s="48"/>
      <c r="O1582" s="289"/>
      <c r="P1582" s="202">
        <v>1566</v>
      </c>
      <c r="Q1582" s="210">
        <v>10</v>
      </c>
      <c r="R1582" s="205" t="s">
        <v>1252</v>
      </c>
      <c r="S1582" s="206" t="s">
        <v>145</v>
      </c>
      <c r="T1582" s="211">
        <v>160000</v>
      </c>
      <c r="U1582" s="211">
        <v>14039.99</v>
      </c>
      <c r="V1582" s="213">
        <v>98858.46</v>
      </c>
      <c r="W1582" s="213">
        <v>61.79</v>
      </c>
    </row>
    <row r="1583" spans="1:23" ht="15" customHeight="1">
      <c r="D1583" s="47" t="s">
        <v>2168</v>
      </c>
      <c r="G1583" s="26"/>
      <c r="H1583" s="26"/>
      <c r="I1583" s="26"/>
      <c r="J1583" s="26"/>
      <c r="K1583" s="26"/>
      <c r="L1583" s="26"/>
      <c r="M1583" s="26"/>
      <c r="N1583" s="26"/>
      <c r="P1583" s="202">
        <v>1567</v>
      </c>
      <c r="Q1583" s="210">
        <v>10</v>
      </c>
      <c r="R1583" s="205" t="s">
        <v>1253</v>
      </c>
      <c r="S1583" s="206" t="s">
        <v>1254</v>
      </c>
      <c r="T1583" s="211">
        <v>0</v>
      </c>
      <c r="U1583" s="211">
        <v>0</v>
      </c>
      <c r="V1583" s="213">
        <v>0</v>
      </c>
      <c r="W1583" s="213">
        <v>0</v>
      </c>
    </row>
    <row r="1584" spans="1:23" ht="15" customHeight="1">
      <c r="G1584" s="26"/>
      <c r="H1584" s="26"/>
      <c r="I1584" s="26"/>
      <c r="J1584" s="26"/>
      <c r="K1584" s="26"/>
      <c r="L1584" s="26"/>
      <c r="M1584" s="26"/>
      <c r="N1584" s="26"/>
      <c r="P1584" s="202">
        <v>1568</v>
      </c>
      <c r="Q1584" s="210">
        <v>10</v>
      </c>
      <c r="R1584" s="205" t="s">
        <v>1255</v>
      </c>
      <c r="S1584" s="206" t="s">
        <v>1256</v>
      </c>
      <c r="T1584" s="211">
        <v>30000</v>
      </c>
      <c r="U1584" s="211">
        <v>437</v>
      </c>
      <c r="V1584" s="213">
        <v>26111.89</v>
      </c>
      <c r="W1584" s="213">
        <v>87.04</v>
      </c>
    </row>
    <row r="1585" spans="1:23" ht="15" customHeight="1">
      <c r="C1585" s="3">
        <v>10</v>
      </c>
      <c r="D1585" s="15" t="s">
        <v>1167</v>
      </c>
      <c r="E1585" s="312" t="s">
        <v>433</v>
      </c>
      <c r="G1585" s="26">
        <v>0</v>
      </c>
      <c r="H1585" s="26">
        <v>0</v>
      </c>
      <c r="I1585" s="26">
        <v>0</v>
      </c>
      <c r="J1585" s="26">
        <v>0</v>
      </c>
      <c r="K1585" s="26">
        <v>0</v>
      </c>
      <c r="L1585" s="26">
        <v>0</v>
      </c>
      <c r="M1585" s="26">
        <v>0</v>
      </c>
      <c r="N1585" s="26">
        <v>0</v>
      </c>
      <c r="O1585" s="285"/>
      <c r="P1585" s="202">
        <v>1569</v>
      </c>
      <c r="Q1585" s="210">
        <v>10</v>
      </c>
      <c r="R1585" s="205" t="s">
        <v>1257</v>
      </c>
      <c r="S1585" s="206" t="s">
        <v>1258</v>
      </c>
      <c r="T1585" s="211">
        <v>49500</v>
      </c>
      <c r="U1585" s="211">
        <v>4125</v>
      </c>
      <c r="V1585" s="213">
        <v>33000</v>
      </c>
      <c r="W1585" s="213">
        <v>66.67</v>
      </c>
    </row>
    <row r="1586" spans="1:23" ht="15" customHeight="1">
      <c r="C1586" s="3">
        <v>10</v>
      </c>
      <c r="D1586" s="15" t="s">
        <v>1168</v>
      </c>
      <c r="E1586" s="312" t="s">
        <v>329</v>
      </c>
      <c r="G1586" s="26">
        <v>0</v>
      </c>
      <c r="H1586" s="26">
        <v>0</v>
      </c>
      <c r="I1586" s="26">
        <v>0</v>
      </c>
      <c r="J1586" s="26">
        <v>0</v>
      </c>
      <c r="K1586" s="26">
        <v>0</v>
      </c>
      <c r="L1586" s="26">
        <v>0</v>
      </c>
      <c r="M1586" s="26">
        <v>0</v>
      </c>
      <c r="N1586" s="26">
        <v>0</v>
      </c>
      <c r="O1586" s="285"/>
      <c r="P1586" s="202">
        <v>1570</v>
      </c>
      <c r="Q1586" s="210">
        <v>10</v>
      </c>
      <c r="R1586" s="205" t="s">
        <v>1259</v>
      </c>
      <c r="S1586" s="206" t="s">
        <v>1260</v>
      </c>
      <c r="T1586" s="211">
        <v>30000</v>
      </c>
      <c r="U1586" s="211">
        <v>2500</v>
      </c>
      <c r="V1586" s="213">
        <v>20000</v>
      </c>
      <c r="W1586" s="213">
        <v>66.67</v>
      </c>
    </row>
    <row r="1587" spans="1:23" ht="15" customHeight="1">
      <c r="C1587" s="3">
        <v>10</v>
      </c>
      <c r="D1587" s="15" t="s">
        <v>1169</v>
      </c>
      <c r="E1587" s="312" t="s">
        <v>165</v>
      </c>
      <c r="G1587" s="26">
        <v>32</v>
      </c>
      <c r="H1587" s="26">
        <v>0</v>
      </c>
      <c r="I1587" s="26">
        <v>0</v>
      </c>
      <c r="J1587" s="26">
        <v>0</v>
      </c>
      <c r="K1587" s="26">
        <v>0</v>
      </c>
      <c r="L1587" s="26">
        <v>0</v>
      </c>
      <c r="M1587" s="26">
        <v>0</v>
      </c>
      <c r="N1587" s="26">
        <v>0</v>
      </c>
      <c r="O1587" s="285"/>
      <c r="P1587" s="202">
        <v>1571</v>
      </c>
      <c r="Q1587" s="210">
        <v>10</v>
      </c>
      <c r="R1587" s="205" t="s">
        <v>1261</v>
      </c>
      <c r="S1587" s="206" t="s">
        <v>1262</v>
      </c>
      <c r="T1587" s="211">
        <v>600</v>
      </c>
      <c r="U1587" s="211">
        <v>0</v>
      </c>
      <c r="V1587" s="213">
        <v>225</v>
      </c>
      <c r="W1587" s="213">
        <v>37.5</v>
      </c>
    </row>
    <row r="1588" spans="1:23" ht="15" customHeight="1">
      <c r="C1588" s="3">
        <v>10</v>
      </c>
      <c r="D1588" s="15" t="s">
        <v>1170</v>
      </c>
      <c r="E1588" s="312" t="s">
        <v>167</v>
      </c>
      <c r="G1588" s="26">
        <v>0</v>
      </c>
      <c r="H1588" s="26">
        <v>0</v>
      </c>
      <c r="I1588" s="26">
        <v>610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85"/>
      <c r="P1588" s="202">
        <v>1572</v>
      </c>
      <c r="Q1588" s="210">
        <v>10</v>
      </c>
      <c r="R1588" s="205" t="s">
        <v>1263</v>
      </c>
      <c r="S1588" s="206" t="s">
        <v>1264</v>
      </c>
      <c r="T1588" s="211">
        <v>15000</v>
      </c>
      <c r="U1588" s="211">
        <v>0</v>
      </c>
      <c r="V1588" s="213">
        <v>7500</v>
      </c>
      <c r="W1588" s="213">
        <v>50</v>
      </c>
    </row>
    <row r="1589" spans="1:23" ht="15" customHeight="1">
      <c r="C1589" s="3">
        <v>10</v>
      </c>
      <c r="D1589" s="15" t="s">
        <v>1171</v>
      </c>
      <c r="E1589" s="312" t="s">
        <v>169</v>
      </c>
      <c r="G1589" s="26">
        <v>282</v>
      </c>
      <c r="H1589" s="26">
        <v>485</v>
      </c>
      <c r="I1589" s="26">
        <v>492</v>
      </c>
      <c r="J1589" s="26">
        <v>488</v>
      </c>
      <c r="K1589" s="26">
        <v>400</v>
      </c>
      <c r="L1589" s="26">
        <v>432</v>
      </c>
      <c r="M1589" s="26">
        <v>500</v>
      </c>
      <c r="N1589" s="26">
        <v>500</v>
      </c>
      <c r="O1589" s="285"/>
      <c r="P1589" s="202">
        <v>1573</v>
      </c>
      <c r="Q1589" s="210">
        <v>10</v>
      </c>
      <c r="R1589" s="205" t="s">
        <v>1265</v>
      </c>
      <c r="S1589" s="206" t="s">
        <v>1266</v>
      </c>
      <c r="T1589" s="211">
        <v>2700</v>
      </c>
      <c r="U1589" s="211">
        <v>0</v>
      </c>
      <c r="V1589" s="213">
        <v>2025</v>
      </c>
      <c r="W1589" s="213">
        <v>75</v>
      </c>
    </row>
    <row r="1590" spans="1:23" ht="15" customHeight="1">
      <c r="C1590" s="3">
        <v>10</v>
      </c>
      <c r="D1590" s="15" t="s">
        <v>1172</v>
      </c>
      <c r="E1590" s="312" t="s">
        <v>171</v>
      </c>
      <c r="G1590" s="26">
        <v>5</v>
      </c>
      <c r="H1590" s="26">
        <v>962</v>
      </c>
      <c r="I1590" s="26">
        <v>72</v>
      </c>
      <c r="J1590" s="26">
        <v>602</v>
      </c>
      <c r="K1590" s="26">
        <v>1500</v>
      </c>
      <c r="L1590" s="26">
        <v>95</v>
      </c>
      <c r="M1590" s="26">
        <v>200</v>
      </c>
      <c r="N1590" s="26">
        <v>500</v>
      </c>
      <c r="O1590" s="285"/>
      <c r="P1590" s="202">
        <v>1574</v>
      </c>
      <c r="Q1590" s="210">
        <v>10</v>
      </c>
      <c r="R1590" s="205" t="s">
        <v>1267</v>
      </c>
      <c r="S1590" s="206" t="s">
        <v>1268</v>
      </c>
      <c r="T1590" s="211">
        <v>8000</v>
      </c>
      <c r="U1590" s="211">
        <v>1213.28</v>
      </c>
      <c r="V1590" s="213">
        <v>12393.48</v>
      </c>
      <c r="W1590" s="213">
        <v>154.91999999999999</v>
      </c>
    </row>
    <row r="1591" spans="1:23" ht="15" customHeight="1">
      <c r="C1591" s="3">
        <v>10</v>
      </c>
      <c r="D1591" s="15" t="s">
        <v>1173</v>
      </c>
      <c r="E1591" s="312" t="s">
        <v>173</v>
      </c>
      <c r="G1591" s="26">
        <v>144</v>
      </c>
      <c r="H1591" s="26">
        <v>487</v>
      </c>
      <c r="I1591" s="26">
        <v>537</v>
      </c>
      <c r="J1591" s="26">
        <v>52</v>
      </c>
      <c r="K1591" s="26">
        <v>0</v>
      </c>
      <c r="L1591" s="26">
        <v>182</v>
      </c>
      <c r="M1591" s="26">
        <v>200</v>
      </c>
      <c r="N1591" s="26">
        <v>200</v>
      </c>
      <c r="O1591" s="285"/>
      <c r="P1591" s="202">
        <v>1575</v>
      </c>
      <c r="Q1591" s="210">
        <v>10</v>
      </c>
      <c r="R1591" s="205" t="s">
        <v>1269</v>
      </c>
      <c r="S1591" s="206" t="s">
        <v>1270</v>
      </c>
      <c r="T1591" s="211">
        <v>35000</v>
      </c>
      <c r="U1591" s="211">
        <v>0</v>
      </c>
      <c r="V1591" s="213">
        <v>26250</v>
      </c>
      <c r="W1591" s="213">
        <v>75</v>
      </c>
    </row>
    <row r="1592" spans="1:23" ht="15" customHeight="1">
      <c r="C1592" s="3">
        <v>10</v>
      </c>
      <c r="D1592" s="15" t="s">
        <v>1174</v>
      </c>
      <c r="E1592" s="312" t="s">
        <v>175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85"/>
      <c r="P1592" s="202">
        <v>1576</v>
      </c>
      <c r="Q1592" s="210">
        <v>10</v>
      </c>
      <c r="R1592" s="205" t="s">
        <v>1271</v>
      </c>
      <c r="S1592" s="206" t="s">
        <v>1272</v>
      </c>
      <c r="T1592" s="211">
        <v>600</v>
      </c>
      <c r="U1592" s="211">
        <v>0</v>
      </c>
      <c r="V1592" s="213">
        <v>450</v>
      </c>
      <c r="W1592" s="213">
        <v>75</v>
      </c>
    </row>
    <row r="1593" spans="1:23" ht="15" customHeight="1">
      <c r="C1593" s="3">
        <v>10</v>
      </c>
      <c r="D1593" s="15" t="s">
        <v>1175</v>
      </c>
      <c r="E1593" s="312" t="s">
        <v>244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85"/>
      <c r="P1593" s="202">
        <v>1577</v>
      </c>
      <c r="Q1593" s="210">
        <v>10</v>
      </c>
      <c r="R1593" s="205" t="s">
        <v>1273</v>
      </c>
      <c r="S1593" s="206" t="s">
        <v>1274</v>
      </c>
      <c r="T1593" s="211">
        <v>0</v>
      </c>
      <c r="U1593" s="211">
        <v>0</v>
      </c>
      <c r="V1593" s="213">
        <v>0</v>
      </c>
      <c r="W1593" s="213">
        <v>0</v>
      </c>
    </row>
    <row r="1594" spans="1:23" ht="15" customHeight="1">
      <c r="G1594" s="26"/>
      <c r="H1594" s="26"/>
      <c r="I1594" s="26"/>
      <c r="J1594" s="26"/>
      <c r="K1594" s="26"/>
      <c r="L1594" s="26"/>
      <c r="M1594" s="26"/>
      <c r="N1594" s="26"/>
      <c r="P1594" s="202">
        <v>1578</v>
      </c>
      <c r="Q1594" s="210">
        <v>10</v>
      </c>
      <c r="R1594" s="205" t="s">
        <v>1275</v>
      </c>
      <c r="S1594" s="206" t="s">
        <v>1276</v>
      </c>
      <c r="T1594" s="211">
        <v>5500</v>
      </c>
      <c r="U1594" s="211">
        <v>0</v>
      </c>
      <c r="V1594" s="213">
        <v>0</v>
      </c>
      <c r="W1594" s="213">
        <v>0</v>
      </c>
    </row>
    <row r="1595" spans="1:23" s="23" customFormat="1" ht="15" customHeight="1">
      <c r="A1595" s="2" t="s">
        <v>163</v>
      </c>
      <c r="B1595" s="2" t="s">
        <v>2317</v>
      </c>
      <c r="C1595" s="3"/>
      <c r="D1595" s="323" t="s">
        <v>2169</v>
      </c>
      <c r="E1595" s="323"/>
      <c r="F1595" s="324"/>
      <c r="G1595" s="325">
        <f>SUM(G1583:G1594)</f>
        <v>463</v>
      </c>
      <c r="H1595" s="325">
        <f t="shared" ref="H1595:N1595" si="127">SUM(H1583:H1594)</f>
        <v>1934</v>
      </c>
      <c r="I1595" s="325">
        <f t="shared" si="127"/>
        <v>1711</v>
      </c>
      <c r="J1595" s="325">
        <f t="shared" si="127"/>
        <v>1142</v>
      </c>
      <c r="K1595" s="325">
        <f t="shared" si="127"/>
        <v>1900</v>
      </c>
      <c r="L1595" s="325">
        <f t="shared" si="127"/>
        <v>709</v>
      </c>
      <c r="M1595" s="325">
        <f t="shared" si="127"/>
        <v>900</v>
      </c>
      <c r="N1595" s="325">
        <f t="shared" si="127"/>
        <v>1200</v>
      </c>
      <c r="O1595" s="291"/>
      <c r="P1595" s="202">
        <v>1579</v>
      </c>
      <c r="Q1595" s="210">
        <v>10</v>
      </c>
      <c r="R1595" s="205" t="s">
        <v>1277</v>
      </c>
      <c r="S1595" s="206" t="s">
        <v>1278</v>
      </c>
      <c r="T1595" s="211">
        <v>12000</v>
      </c>
      <c r="U1595" s="211">
        <v>297.94</v>
      </c>
      <c r="V1595" s="213">
        <v>10543.19</v>
      </c>
      <c r="W1595" s="213">
        <v>87.86</v>
      </c>
    </row>
    <row r="1596" spans="1:23" s="46" customFormat="1" ht="15" customHeight="1">
      <c r="A1596" s="2"/>
      <c r="B1596" s="2"/>
      <c r="C1596" s="3"/>
      <c r="D1596" s="47"/>
      <c r="E1596" s="47"/>
      <c r="F1596" s="191"/>
      <c r="G1596" s="48"/>
      <c r="H1596" s="48"/>
      <c r="I1596" s="48"/>
      <c r="J1596" s="48"/>
      <c r="K1596" s="48"/>
      <c r="L1596" s="48"/>
      <c r="M1596" s="48"/>
      <c r="N1596" s="48"/>
      <c r="O1596" s="289"/>
      <c r="P1596" s="202">
        <v>1580</v>
      </c>
      <c r="Q1596" s="210">
        <v>10</v>
      </c>
      <c r="R1596" s="205" t="s">
        <v>1279</v>
      </c>
      <c r="S1596" s="206" t="s">
        <v>1280</v>
      </c>
      <c r="T1596" s="211">
        <v>27864</v>
      </c>
      <c r="U1596" s="211">
        <v>0</v>
      </c>
      <c r="V1596" s="213">
        <v>13812.24</v>
      </c>
      <c r="W1596" s="213">
        <v>49.57</v>
      </c>
    </row>
    <row r="1597" spans="1:23" ht="15" customHeight="1">
      <c r="D1597" s="47" t="s">
        <v>2170</v>
      </c>
      <c r="G1597" s="26"/>
      <c r="H1597" s="26"/>
      <c r="I1597" s="26"/>
      <c r="J1597" s="26"/>
      <c r="K1597" s="26"/>
      <c r="L1597" s="26"/>
      <c r="M1597" s="26"/>
      <c r="N1597" s="26"/>
      <c r="P1597" s="202">
        <v>1581</v>
      </c>
      <c r="Q1597" s="210">
        <v>10</v>
      </c>
      <c r="R1597" s="205" t="s">
        <v>1281</v>
      </c>
      <c r="S1597" s="206" t="s">
        <v>1282</v>
      </c>
      <c r="T1597" s="211">
        <v>4500</v>
      </c>
      <c r="U1597" s="211">
        <v>0</v>
      </c>
      <c r="V1597" s="213">
        <v>4500</v>
      </c>
      <c r="W1597" s="213">
        <v>100</v>
      </c>
    </row>
    <row r="1598" spans="1:23" ht="15" customHeight="1">
      <c r="G1598" s="26"/>
      <c r="H1598" s="26"/>
      <c r="I1598" s="26"/>
      <c r="J1598" s="26"/>
      <c r="K1598" s="26"/>
      <c r="L1598" s="26"/>
      <c r="M1598" s="26"/>
      <c r="N1598" s="26"/>
      <c r="P1598" s="202">
        <v>1582</v>
      </c>
      <c r="Q1598" s="210">
        <v>10</v>
      </c>
      <c r="R1598" s="205" t="s">
        <v>1283</v>
      </c>
      <c r="S1598" s="206" t="s">
        <v>162</v>
      </c>
      <c r="T1598" s="211">
        <v>0</v>
      </c>
      <c r="U1598" s="211">
        <v>0</v>
      </c>
      <c r="V1598" s="213">
        <v>0</v>
      </c>
      <c r="W1598" s="213">
        <v>0</v>
      </c>
    </row>
    <row r="1599" spans="1:23" ht="15" customHeight="1">
      <c r="C1599" s="3">
        <v>10</v>
      </c>
      <c r="D1599" s="15" t="s">
        <v>1176</v>
      </c>
      <c r="E1599" s="312" t="s">
        <v>329</v>
      </c>
      <c r="G1599" s="26">
        <v>0</v>
      </c>
      <c r="H1599" s="26">
        <v>0</v>
      </c>
      <c r="I1599" s="26">
        <v>0</v>
      </c>
      <c r="J1599" s="26">
        <v>0</v>
      </c>
      <c r="K1599" s="26">
        <v>0</v>
      </c>
      <c r="L1599" s="26">
        <v>0</v>
      </c>
      <c r="M1599" s="26">
        <v>0</v>
      </c>
      <c r="N1599" s="26">
        <v>0</v>
      </c>
      <c r="O1599" s="285"/>
      <c r="P1599" s="202">
        <v>1583</v>
      </c>
      <c r="Q1599" s="210">
        <v>10</v>
      </c>
      <c r="R1599" s="205" t="s">
        <v>1284</v>
      </c>
      <c r="S1599" s="206" t="s">
        <v>1285</v>
      </c>
      <c r="T1599" s="211">
        <v>0</v>
      </c>
      <c r="U1599" s="211">
        <v>0</v>
      </c>
      <c r="V1599" s="213">
        <v>0</v>
      </c>
      <c r="W1599" s="213">
        <v>0</v>
      </c>
    </row>
    <row r="1600" spans="1:23" ht="15" customHeight="1">
      <c r="C1600" s="3">
        <v>10</v>
      </c>
      <c r="D1600" s="15" t="s">
        <v>1177</v>
      </c>
      <c r="E1600" s="312" t="s">
        <v>165</v>
      </c>
      <c r="G1600" s="26">
        <v>0</v>
      </c>
      <c r="H1600" s="26">
        <v>0</v>
      </c>
      <c r="I1600" s="26">
        <v>0</v>
      </c>
      <c r="J1600" s="26">
        <v>0</v>
      </c>
      <c r="K1600" s="26">
        <v>0</v>
      </c>
      <c r="L1600" s="26">
        <v>404</v>
      </c>
      <c r="M1600" s="26">
        <v>500</v>
      </c>
      <c r="N1600" s="26">
        <v>0</v>
      </c>
      <c r="O1600" s="285"/>
      <c r="P1600" s="202">
        <v>1584</v>
      </c>
      <c r="Q1600" s="210">
        <v>10</v>
      </c>
      <c r="R1600" s="205" t="s">
        <v>2623</v>
      </c>
      <c r="S1600" s="206"/>
      <c r="T1600" s="211"/>
      <c r="U1600" s="211"/>
      <c r="V1600" s="213"/>
      <c r="W1600" s="213"/>
    </row>
    <row r="1601" spans="1:23" ht="15" customHeight="1">
      <c r="C1601" s="3">
        <v>10</v>
      </c>
      <c r="D1601" s="15" t="s">
        <v>1178</v>
      </c>
      <c r="E1601" s="312" t="s">
        <v>167</v>
      </c>
      <c r="G1601" s="26">
        <v>0</v>
      </c>
      <c r="H1601" s="26">
        <v>0</v>
      </c>
      <c r="I1601" s="26">
        <v>0</v>
      </c>
      <c r="J1601" s="26">
        <v>0</v>
      </c>
      <c r="K1601" s="26">
        <v>0</v>
      </c>
      <c r="L1601" s="26">
        <v>0</v>
      </c>
      <c r="M1601" s="26">
        <v>0</v>
      </c>
      <c r="N1601" s="26">
        <v>0</v>
      </c>
      <c r="O1601" s="285"/>
      <c r="P1601" s="202">
        <v>1585</v>
      </c>
      <c r="Q1601" s="210">
        <v>10</v>
      </c>
      <c r="R1601" s="205" t="s">
        <v>135</v>
      </c>
      <c r="S1601" s="206"/>
      <c r="T1601" s="211">
        <v>386264</v>
      </c>
      <c r="U1601" s="211">
        <v>22673.21</v>
      </c>
      <c r="V1601" s="213">
        <v>263801.17</v>
      </c>
      <c r="W1601" s="213">
        <v>0</v>
      </c>
    </row>
    <row r="1602" spans="1:23" ht="15" customHeight="1">
      <c r="C1602" s="3">
        <v>10</v>
      </c>
      <c r="D1602" s="15" t="s">
        <v>1179</v>
      </c>
      <c r="E1602" s="312" t="s">
        <v>247</v>
      </c>
      <c r="G1602" s="26">
        <v>0</v>
      </c>
      <c r="H1602" s="26">
        <v>1137</v>
      </c>
      <c r="I1602" s="26">
        <v>0</v>
      </c>
      <c r="J1602" s="26">
        <v>0</v>
      </c>
      <c r="K1602" s="26">
        <v>0</v>
      </c>
      <c r="L1602" s="26">
        <v>0</v>
      </c>
      <c r="M1602" s="26">
        <v>0</v>
      </c>
      <c r="N1602" s="26">
        <v>0</v>
      </c>
      <c r="O1602" s="285"/>
      <c r="P1602" s="202">
        <v>1586</v>
      </c>
      <c r="Q1602" s="210">
        <v>10</v>
      </c>
      <c r="R1602" s="205" t="s">
        <v>163</v>
      </c>
      <c r="S1602" s="206"/>
      <c r="T1602" s="211"/>
      <c r="U1602" s="211"/>
      <c r="V1602" s="213"/>
      <c r="W1602" s="213"/>
    </row>
    <row r="1603" spans="1:23" ht="15" customHeight="1">
      <c r="C1603" s="3">
        <v>10</v>
      </c>
      <c r="D1603" s="15" t="s">
        <v>1180</v>
      </c>
      <c r="E1603" s="312" t="s">
        <v>461</v>
      </c>
      <c r="G1603" s="26">
        <v>0</v>
      </c>
      <c r="H1603" s="26">
        <v>0</v>
      </c>
      <c r="I1603" s="26">
        <v>0</v>
      </c>
      <c r="J1603" s="26">
        <v>0</v>
      </c>
      <c r="K1603" s="26">
        <v>0</v>
      </c>
      <c r="L1603" s="26">
        <v>0</v>
      </c>
      <c r="M1603" s="26">
        <v>0</v>
      </c>
      <c r="N1603" s="26">
        <v>0</v>
      </c>
      <c r="O1603" s="285"/>
      <c r="P1603" s="202">
        <v>1587</v>
      </c>
      <c r="Q1603" s="210">
        <v>10</v>
      </c>
      <c r="R1603" s="205" t="s">
        <v>2627</v>
      </c>
      <c r="S1603" s="206"/>
      <c r="T1603" s="211"/>
      <c r="U1603" s="211"/>
      <c r="V1603" s="213"/>
      <c r="W1603" s="213"/>
    </row>
    <row r="1604" spans="1:23" ht="15" customHeight="1">
      <c r="C1604" s="3">
        <v>10</v>
      </c>
      <c r="D1604" s="15" t="s">
        <v>1181</v>
      </c>
      <c r="E1604" s="312" t="s">
        <v>382</v>
      </c>
      <c r="G1604" s="26">
        <v>0</v>
      </c>
      <c r="H1604" s="26">
        <v>0</v>
      </c>
      <c r="I1604" s="26">
        <v>0</v>
      </c>
      <c r="J1604" s="26">
        <v>0</v>
      </c>
      <c r="K1604" s="26">
        <v>0</v>
      </c>
      <c r="L1604" s="26">
        <v>0</v>
      </c>
      <c r="M1604" s="26">
        <v>0</v>
      </c>
      <c r="N1604" s="26">
        <v>0</v>
      </c>
      <c r="O1604" s="285"/>
      <c r="P1604" s="202">
        <v>1588</v>
      </c>
      <c r="Q1604" s="210">
        <v>10</v>
      </c>
      <c r="R1604" s="205" t="s">
        <v>1286</v>
      </c>
      <c r="S1604" s="206" t="s">
        <v>169</v>
      </c>
      <c r="T1604" s="211">
        <v>5000</v>
      </c>
      <c r="U1604" s="211">
        <v>0</v>
      </c>
      <c r="V1604" s="213">
        <v>0</v>
      </c>
      <c r="W1604" s="213">
        <v>0</v>
      </c>
    </row>
    <row r="1605" spans="1:23" ht="15" customHeight="1">
      <c r="C1605" s="3">
        <v>10</v>
      </c>
      <c r="D1605" s="15" t="s">
        <v>1182</v>
      </c>
      <c r="E1605" s="312" t="s">
        <v>173</v>
      </c>
      <c r="G1605" s="26">
        <v>0</v>
      </c>
      <c r="H1605" s="26">
        <v>0</v>
      </c>
      <c r="I1605" s="26">
        <v>0</v>
      </c>
      <c r="J1605" s="26">
        <v>0</v>
      </c>
      <c r="K1605" s="26">
        <v>0</v>
      </c>
      <c r="L1605" s="26">
        <v>0</v>
      </c>
      <c r="M1605" s="26">
        <v>0</v>
      </c>
      <c r="N1605" s="26">
        <v>0</v>
      </c>
      <c r="O1605" s="285"/>
      <c r="P1605" s="202">
        <v>1589</v>
      </c>
      <c r="Q1605" s="210">
        <v>10</v>
      </c>
      <c r="R1605" s="205" t="s">
        <v>2623</v>
      </c>
      <c r="S1605" s="206"/>
      <c r="T1605" s="211"/>
      <c r="U1605" s="211"/>
      <c r="V1605" s="213"/>
      <c r="W1605" s="213"/>
    </row>
    <row r="1606" spans="1:23" ht="15" customHeight="1">
      <c r="C1606" s="3">
        <v>10</v>
      </c>
      <c r="D1606" s="15" t="s">
        <v>1183</v>
      </c>
      <c r="E1606" s="312" t="s">
        <v>244</v>
      </c>
      <c r="G1606" s="26">
        <v>2000</v>
      </c>
      <c r="H1606" s="26">
        <v>-2000</v>
      </c>
      <c r="I1606" s="26">
        <v>0</v>
      </c>
      <c r="J1606" s="26">
        <v>0</v>
      </c>
      <c r="K1606" s="26">
        <v>0</v>
      </c>
      <c r="L1606" s="26">
        <v>0</v>
      </c>
      <c r="M1606" s="26">
        <v>0</v>
      </c>
      <c r="N1606" s="26">
        <v>0</v>
      </c>
      <c r="O1606" s="285"/>
      <c r="P1606" s="202">
        <v>1590</v>
      </c>
      <c r="Q1606" s="210">
        <v>10</v>
      </c>
      <c r="R1606" s="205" t="s">
        <v>163</v>
      </c>
      <c r="S1606" s="206"/>
      <c r="T1606" s="211">
        <v>5000</v>
      </c>
      <c r="U1606" s="211">
        <v>0</v>
      </c>
      <c r="V1606" s="213">
        <v>0</v>
      </c>
      <c r="W1606" s="213">
        <v>0</v>
      </c>
    </row>
    <row r="1607" spans="1:23" ht="15" customHeight="1">
      <c r="G1607" s="26"/>
      <c r="H1607" s="26"/>
      <c r="I1607" s="26"/>
      <c r="J1607" s="26"/>
      <c r="K1607" s="26"/>
      <c r="L1607" s="26"/>
      <c r="M1607" s="26"/>
      <c r="N1607" s="26"/>
      <c r="P1607" s="202">
        <v>1591</v>
      </c>
      <c r="Q1607" s="210">
        <v>10</v>
      </c>
      <c r="R1607" s="205" t="s">
        <v>2623</v>
      </c>
      <c r="S1607" s="206"/>
      <c r="T1607" s="211"/>
      <c r="U1607" s="211"/>
      <c r="V1607" s="213"/>
      <c r="W1607" s="213"/>
    </row>
    <row r="1608" spans="1:23" s="24" customFormat="1" ht="15" customHeight="1">
      <c r="A1608" s="2" t="s">
        <v>245</v>
      </c>
      <c r="B1608" s="2" t="s">
        <v>2317</v>
      </c>
      <c r="C1608" s="3"/>
      <c r="D1608" s="323" t="s">
        <v>2171</v>
      </c>
      <c r="E1608" s="323"/>
      <c r="F1608" s="324"/>
      <c r="G1608" s="325">
        <f>SUM(G1597:G1607)</f>
        <v>2000</v>
      </c>
      <c r="H1608" s="325">
        <f t="shared" ref="H1608:N1608" si="128">SUM(H1597:H1607)</f>
        <v>-863</v>
      </c>
      <c r="I1608" s="325">
        <f t="shared" si="128"/>
        <v>0</v>
      </c>
      <c r="J1608" s="325">
        <f t="shared" si="128"/>
        <v>0</v>
      </c>
      <c r="K1608" s="325">
        <f t="shared" si="128"/>
        <v>0</v>
      </c>
      <c r="L1608" s="325">
        <f t="shared" si="128"/>
        <v>404</v>
      </c>
      <c r="M1608" s="325">
        <f t="shared" si="128"/>
        <v>500</v>
      </c>
      <c r="N1608" s="325">
        <f t="shared" si="128"/>
        <v>0</v>
      </c>
      <c r="O1608" s="292"/>
      <c r="P1608" s="202">
        <v>1592</v>
      </c>
      <c r="Q1608" s="210">
        <v>10</v>
      </c>
      <c r="R1608" s="205" t="s">
        <v>17</v>
      </c>
      <c r="S1608" s="206"/>
      <c r="T1608" s="211">
        <v>391264</v>
      </c>
      <c r="U1608" s="211">
        <v>22673.21</v>
      </c>
      <c r="V1608" s="213">
        <v>263801.17</v>
      </c>
      <c r="W1608" s="213">
        <v>67.42</v>
      </c>
    </row>
    <row r="1609" spans="1:23" ht="15" customHeight="1">
      <c r="G1609" s="26"/>
      <c r="H1609" s="26"/>
      <c r="I1609" s="26"/>
      <c r="J1609" s="26"/>
      <c r="K1609" s="26"/>
      <c r="L1609" s="26"/>
      <c r="M1609" s="26"/>
      <c r="N1609" s="26"/>
      <c r="P1609" s="202">
        <v>1593</v>
      </c>
      <c r="Q1609" s="210">
        <v>10</v>
      </c>
      <c r="R1609" s="205" t="s">
        <v>2621</v>
      </c>
      <c r="S1609" s="206"/>
      <c r="T1609" s="211"/>
      <c r="U1609" s="211"/>
      <c r="V1609" s="213"/>
      <c r="W1609" s="213"/>
    </row>
    <row r="1610" spans="1:23" s="43" customFormat="1" ht="15" customHeight="1" thickBot="1">
      <c r="A1610" s="2"/>
      <c r="B1610" s="2" t="s">
        <v>2317</v>
      </c>
      <c r="C1610" s="3"/>
      <c r="D1610" s="68" t="s">
        <v>2160</v>
      </c>
      <c r="E1610" s="326"/>
      <c r="F1610" s="327"/>
      <c r="G1610" s="328">
        <f t="shared" ref="G1610:N1610" si="129">+G1608+G1595+G1581+G1564+G1544</f>
        <v>158245</v>
      </c>
      <c r="H1610" s="328">
        <f t="shared" si="129"/>
        <v>245866</v>
      </c>
      <c r="I1610" s="328">
        <f t="shared" si="129"/>
        <v>197073</v>
      </c>
      <c r="J1610" s="328">
        <f t="shared" si="129"/>
        <v>203303</v>
      </c>
      <c r="K1610" s="328">
        <f t="shared" si="129"/>
        <v>199586</v>
      </c>
      <c r="L1610" s="328">
        <f t="shared" si="129"/>
        <v>98862</v>
      </c>
      <c r="M1610" s="328">
        <f t="shared" si="129"/>
        <v>179699.12</v>
      </c>
      <c r="N1610" s="328">
        <f t="shared" si="129"/>
        <v>193405</v>
      </c>
      <c r="O1610" s="288"/>
      <c r="P1610" s="202">
        <v>1594</v>
      </c>
      <c r="Q1610" s="210">
        <v>10</v>
      </c>
      <c r="R1610" s="205" t="s">
        <v>2622</v>
      </c>
      <c r="S1610" s="206"/>
      <c r="T1610" s="211"/>
      <c r="U1610" s="211"/>
      <c r="V1610" s="213"/>
      <c r="W1610" s="213"/>
    </row>
    <row r="1611" spans="1:23" s="45" customFormat="1" ht="15" customHeight="1" thickTop="1">
      <c r="A1611" s="2"/>
      <c r="B1611" s="2"/>
      <c r="C1611" s="3"/>
      <c r="D1611" s="47"/>
      <c r="E1611" s="15"/>
      <c r="F1611" s="105"/>
      <c r="G1611" s="26"/>
      <c r="H1611" s="26"/>
      <c r="I1611" s="26"/>
      <c r="J1611" s="26"/>
      <c r="K1611" s="26"/>
      <c r="L1611" s="26"/>
      <c r="M1611" s="26"/>
      <c r="N1611" s="26"/>
      <c r="O1611" s="275"/>
      <c r="P1611" s="202">
        <v>1595</v>
      </c>
      <c r="Q1611" s="210">
        <v>10</v>
      </c>
      <c r="R1611" s="205" t="s">
        <v>1287</v>
      </c>
      <c r="S1611" s="206" t="s">
        <v>79</v>
      </c>
      <c r="T1611" s="211">
        <v>45000</v>
      </c>
      <c r="U1611" s="211">
        <v>3750</v>
      </c>
      <c r="V1611" s="213">
        <v>30000</v>
      </c>
      <c r="W1611" s="213">
        <v>66.67</v>
      </c>
    </row>
    <row r="1612" spans="1:23" s="45" customFormat="1" ht="15" customHeight="1">
      <c r="A1612" s="2"/>
      <c r="B1612" s="2"/>
      <c r="C1612" s="3"/>
      <c r="D1612" s="47" t="s">
        <v>2857</v>
      </c>
      <c r="E1612" s="15"/>
      <c r="F1612" s="105"/>
      <c r="G1612" s="26"/>
      <c r="H1612" s="26"/>
      <c r="I1612" s="26"/>
      <c r="J1612" s="26"/>
      <c r="K1612" s="26"/>
      <c r="L1612" s="26"/>
      <c r="M1612" s="26"/>
      <c r="N1612" s="26"/>
      <c r="O1612" s="275"/>
      <c r="P1612" s="202">
        <v>1596</v>
      </c>
      <c r="Q1612" s="210">
        <v>10</v>
      </c>
      <c r="R1612" s="205" t="s">
        <v>1288</v>
      </c>
      <c r="S1612" s="206" t="s">
        <v>81</v>
      </c>
      <c r="T1612" s="211">
        <v>6659</v>
      </c>
      <c r="U1612" s="211">
        <v>554.91999999999996</v>
      </c>
      <c r="V1612" s="213">
        <v>4439.3599999999997</v>
      </c>
      <c r="W1612" s="213">
        <v>66.67</v>
      </c>
    </row>
    <row r="1613" spans="1:23" s="45" customFormat="1" ht="15" customHeight="1">
      <c r="A1613" s="2"/>
      <c r="B1613" s="2"/>
      <c r="C1613" s="3"/>
      <c r="D1613" s="47"/>
      <c r="E1613" s="15"/>
      <c r="F1613" s="105"/>
      <c r="G1613" s="26"/>
      <c r="H1613" s="26"/>
      <c r="I1613" s="26"/>
      <c r="J1613" s="26"/>
      <c r="K1613" s="26"/>
      <c r="L1613" s="26"/>
      <c r="M1613" s="26"/>
      <c r="N1613" s="26"/>
      <c r="O1613" s="275"/>
      <c r="P1613" s="202">
        <v>1597</v>
      </c>
      <c r="Q1613" s="210">
        <v>10</v>
      </c>
      <c r="R1613" s="205" t="s">
        <v>1289</v>
      </c>
      <c r="S1613" s="206" t="s">
        <v>85</v>
      </c>
      <c r="T1613" s="211">
        <v>69</v>
      </c>
      <c r="U1613" s="211">
        <v>0</v>
      </c>
      <c r="V1613" s="213">
        <v>261</v>
      </c>
      <c r="W1613" s="213">
        <v>378.26</v>
      </c>
    </row>
    <row r="1614" spans="1:23" s="5" customFormat="1" ht="15" customHeight="1">
      <c r="A1614" s="2"/>
      <c r="B1614" s="2"/>
      <c r="C1614" s="3"/>
      <c r="D1614" s="47" t="s">
        <v>2858</v>
      </c>
      <c r="E1614" s="15"/>
      <c r="F1614" s="105"/>
      <c r="G1614" s="26"/>
      <c r="H1614" s="26"/>
      <c r="I1614" s="26"/>
      <c r="J1614" s="26"/>
      <c r="K1614" s="26"/>
      <c r="L1614" s="26"/>
      <c r="M1614" s="26"/>
      <c r="N1614" s="26"/>
      <c r="O1614" s="282"/>
      <c r="P1614" s="202">
        <v>1598</v>
      </c>
      <c r="Q1614" s="210">
        <v>10</v>
      </c>
      <c r="R1614" s="205" t="s">
        <v>1290</v>
      </c>
      <c r="S1614" s="206" t="s">
        <v>87</v>
      </c>
      <c r="T1614" s="211">
        <v>2556</v>
      </c>
      <c r="U1614" s="211">
        <v>270.83999999999997</v>
      </c>
      <c r="V1614" s="213">
        <v>2172.25</v>
      </c>
      <c r="W1614" s="213">
        <v>84.99</v>
      </c>
    </row>
    <row r="1615" spans="1:23" ht="15" customHeight="1">
      <c r="G1615" s="26"/>
      <c r="H1615" s="26"/>
      <c r="I1615" s="26"/>
      <c r="J1615" s="26"/>
      <c r="K1615" s="26"/>
      <c r="L1615" s="26"/>
      <c r="M1615" s="26"/>
      <c r="N1615" s="26"/>
      <c r="P1615" s="202">
        <v>1599</v>
      </c>
      <c r="Q1615" s="210">
        <v>10</v>
      </c>
      <c r="R1615" s="205" t="s">
        <v>1291</v>
      </c>
      <c r="S1615" s="206" t="s">
        <v>89</v>
      </c>
      <c r="T1615" s="211">
        <v>7227</v>
      </c>
      <c r="U1615" s="211">
        <v>610.88</v>
      </c>
      <c r="V1615" s="213">
        <v>4905.41</v>
      </c>
      <c r="W1615" s="213">
        <v>67.88</v>
      </c>
    </row>
    <row r="1616" spans="1:23" ht="15" customHeight="1">
      <c r="C1616" s="3">
        <v>10</v>
      </c>
      <c r="D1616" s="15" t="s">
        <v>1184</v>
      </c>
      <c r="E1616" s="312" t="s">
        <v>79</v>
      </c>
      <c r="G1616" s="26">
        <v>32223</v>
      </c>
      <c r="H1616" s="26">
        <v>27642</v>
      </c>
      <c r="I1616" s="26">
        <v>28272</v>
      </c>
      <c r="J1616" s="26">
        <v>28924</v>
      </c>
      <c r="K1616" s="26">
        <v>28846</v>
      </c>
      <c r="L1616" s="26">
        <v>17136</v>
      </c>
      <c r="M1616" s="26">
        <f>22032*1.33</f>
        <v>29302.560000000001</v>
      </c>
      <c r="N1616" s="26">
        <v>29424</v>
      </c>
      <c r="P1616" s="202">
        <v>1600</v>
      </c>
      <c r="Q1616" s="210">
        <v>10</v>
      </c>
      <c r="R1616" s="205" t="s">
        <v>2629</v>
      </c>
      <c r="S1616" s="206" t="s">
        <v>93</v>
      </c>
      <c r="T1616" s="211">
        <v>0</v>
      </c>
      <c r="U1616" s="211">
        <v>150</v>
      </c>
      <c r="V1616" s="213">
        <v>150</v>
      </c>
      <c r="W1616" s="213">
        <v>0</v>
      </c>
    </row>
    <row r="1617" spans="1:23" ht="15" customHeight="1">
      <c r="C1617" s="3">
        <v>10</v>
      </c>
      <c r="D1617" s="15" t="s">
        <v>1185</v>
      </c>
      <c r="E1617" s="312" t="s">
        <v>81</v>
      </c>
      <c r="G1617" s="26">
        <v>7769</v>
      </c>
      <c r="H1617" s="26">
        <v>6525</v>
      </c>
      <c r="I1617" s="26">
        <v>6498</v>
      </c>
      <c r="J1617" s="26">
        <v>6119</v>
      </c>
      <c r="K1617" s="26">
        <v>6659</v>
      </c>
      <c r="L1617" s="26">
        <v>3299</v>
      </c>
      <c r="M1617" s="26">
        <v>6659</v>
      </c>
      <c r="N1617" s="26">
        <v>6659</v>
      </c>
      <c r="P1617" s="202">
        <v>1601</v>
      </c>
      <c r="Q1617" s="210">
        <v>10</v>
      </c>
      <c r="R1617" s="205" t="s">
        <v>2487</v>
      </c>
      <c r="S1617" s="206" t="s">
        <v>99</v>
      </c>
      <c r="T1617" s="211">
        <v>0</v>
      </c>
      <c r="U1617" s="211">
        <v>0</v>
      </c>
      <c r="V1617" s="213">
        <v>57.24</v>
      </c>
      <c r="W1617" s="213">
        <v>0</v>
      </c>
    </row>
    <row r="1618" spans="1:23" ht="15" customHeight="1">
      <c r="C1618" s="3">
        <v>10</v>
      </c>
      <c r="D1618" s="15" t="s">
        <v>1186</v>
      </c>
      <c r="E1618" s="312" t="s">
        <v>83</v>
      </c>
      <c r="G1618" s="26">
        <v>0</v>
      </c>
      <c r="H1618" s="26">
        <v>45</v>
      </c>
      <c r="I1618" s="26">
        <v>0</v>
      </c>
      <c r="J1618" s="26">
        <v>0</v>
      </c>
      <c r="K1618" s="26">
        <v>0</v>
      </c>
      <c r="L1618" s="26">
        <v>0</v>
      </c>
      <c r="M1618" s="26">
        <v>0</v>
      </c>
      <c r="N1618" s="26">
        <v>0</v>
      </c>
      <c r="P1618" s="202">
        <v>1602</v>
      </c>
      <c r="Q1618" s="210">
        <v>10</v>
      </c>
      <c r="R1618" s="205" t="s">
        <v>2623</v>
      </c>
      <c r="S1618" s="206"/>
      <c r="T1618" s="211"/>
      <c r="U1618" s="211"/>
      <c r="V1618" s="213"/>
      <c r="W1618" s="213"/>
    </row>
    <row r="1619" spans="1:23" ht="15" customHeight="1">
      <c r="C1619" s="3">
        <v>10</v>
      </c>
      <c r="D1619" s="15" t="s">
        <v>1187</v>
      </c>
      <c r="E1619" s="312" t="s">
        <v>85</v>
      </c>
      <c r="G1619" s="26">
        <v>133</v>
      </c>
      <c r="H1619" s="26">
        <v>0</v>
      </c>
      <c r="I1619" s="26">
        <v>189</v>
      </c>
      <c r="J1619" s="26">
        <v>72</v>
      </c>
      <c r="K1619" s="26">
        <v>275</v>
      </c>
      <c r="L1619" s="26">
        <v>245</v>
      </c>
      <c r="M1619" s="26">
        <f>245*1.33</f>
        <v>325.85000000000002</v>
      </c>
      <c r="N1619" s="26">
        <v>385</v>
      </c>
      <c r="P1619" s="202">
        <v>1603</v>
      </c>
      <c r="Q1619" s="210">
        <v>10</v>
      </c>
      <c r="R1619" s="205" t="s">
        <v>2621</v>
      </c>
      <c r="S1619" s="206"/>
      <c r="T1619" s="211">
        <v>61511</v>
      </c>
      <c r="U1619" s="211">
        <v>5336.64</v>
      </c>
      <c r="V1619" s="213">
        <v>41985.26</v>
      </c>
      <c r="W1619" s="213">
        <v>0</v>
      </c>
    </row>
    <row r="1620" spans="1:23" ht="15" customHeight="1">
      <c r="C1620" s="3">
        <v>10</v>
      </c>
      <c r="D1620" s="15" t="s">
        <v>1188</v>
      </c>
      <c r="E1620" s="312" t="s">
        <v>87</v>
      </c>
      <c r="G1620" s="26">
        <v>2217</v>
      </c>
      <c r="H1620" s="26">
        <v>1782</v>
      </c>
      <c r="I1620" s="26">
        <v>1852</v>
      </c>
      <c r="J1620" s="26">
        <v>1921</v>
      </c>
      <c r="K1620" s="26">
        <v>2212</v>
      </c>
      <c r="L1620" s="26">
        <v>1072</v>
      </c>
      <c r="M1620" s="26">
        <f>1390*1.33</f>
        <v>1848.7</v>
      </c>
      <c r="N1620" s="26">
        <v>2276</v>
      </c>
      <c r="P1620" s="202">
        <v>1604</v>
      </c>
      <c r="Q1620" s="210">
        <v>10</v>
      </c>
      <c r="R1620" s="205" t="s">
        <v>104</v>
      </c>
      <c r="S1620" s="206"/>
      <c r="T1620" s="211"/>
      <c r="U1620" s="211"/>
      <c r="V1620" s="213"/>
      <c r="W1620" s="213"/>
    </row>
    <row r="1621" spans="1:23" ht="15" customHeight="1">
      <c r="C1621" s="3">
        <v>10</v>
      </c>
      <c r="D1621" s="15" t="s">
        <v>1189</v>
      </c>
      <c r="E1621" s="312" t="s">
        <v>89</v>
      </c>
      <c r="G1621" s="26">
        <v>4652</v>
      </c>
      <c r="H1621" s="26">
        <v>4015</v>
      </c>
      <c r="I1621" s="26">
        <v>4313</v>
      </c>
      <c r="J1621" s="26">
        <v>4368</v>
      </c>
      <c r="K1621" s="26">
        <v>4633</v>
      </c>
      <c r="L1621" s="26">
        <v>2619</v>
      </c>
      <c r="M1621" s="26">
        <f>3381*1.33</f>
        <v>4496.7300000000005</v>
      </c>
      <c r="N1621" s="26">
        <v>5201</v>
      </c>
      <c r="P1621" s="202">
        <v>1605</v>
      </c>
      <c r="Q1621" s="210">
        <v>10</v>
      </c>
      <c r="R1621" s="205" t="s">
        <v>2624</v>
      </c>
      <c r="S1621" s="206"/>
      <c r="T1621" s="211"/>
      <c r="U1621" s="211"/>
      <c r="V1621" s="213"/>
      <c r="W1621" s="213"/>
    </row>
    <row r="1622" spans="1:23" ht="15" customHeight="1">
      <c r="C1622" s="3">
        <v>10</v>
      </c>
      <c r="D1622" s="15" t="s">
        <v>1190</v>
      </c>
      <c r="E1622" s="312" t="s">
        <v>91</v>
      </c>
      <c r="G1622" s="26">
        <v>419</v>
      </c>
      <c r="H1622" s="26">
        <v>177</v>
      </c>
      <c r="I1622" s="26">
        <v>243</v>
      </c>
      <c r="J1622" s="26">
        <v>166</v>
      </c>
      <c r="K1622" s="26">
        <v>0</v>
      </c>
      <c r="L1622" s="26">
        <v>192</v>
      </c>
      <c r="M1622" s="26">
        <v>319</v>
      </c>
      <c r="N1622" s="26">
        <v>0</v>
      </c>
      <c r="P1622" s="202">
        <v>1606</v>
      </c>
      <c r="Q1622" s="210">
        <v>10</v>
      </c>
      <c r="R1622" s="205" t="s">
        <v>1292</v>
      </c>
      <c r="S1622" s="206" t="s">
        <v>115</v>
      </c>
      <c r="T1622" s="211">
        <v>3000</v>
      </c>
      <c r="U1622" s="211">
        <v>422.61</v>
      </c>
      <c r="V1622" s="213">
        <v>1263.93</v>
      </c>
      <c r="W1622" s="213">
        <v>42.13</v>
      </c>
    </row>
    <row r="1623" spans="1:23" ht="15" customHeight="1">
      <c r="C1623" s="3">
        <v>10</v>
      </c>
      <c r="D1623" s="15" t="s">
        <v>1191</v>
      </c>
      <c r="E1623" s="312" t="s">
        <v>93</v>
      </c>
      <c r="G1623" s="26">
        <v>0</v>
      </c>
      <c r="H1623" s="26">
        <v>160</v>
      </c>
      <c r="I1623" s="26">
        <v>340</v>
      </c>
      <c r="J1623" s="26">
        <v>0</v>
      </c>
      <c r="K1623" s="26">
        <v>0</v>
      </c>
      <c r="L1623" s="26">
        <v>0</v>
      </c>
      <c r="M1623" s="26">
        <v>0</v>
      </c>
      <c r="N1623" s="26">
        <v>0</v>
      </c>
      <c r="P1623" s="202">
        <v>1607</v>
      </c>
      <c r="Q1623" s="210">
        <v>10</v>
      </c>
      <c r="R1623" s="205" t="s">
        <v>1293</v>
      </c>
      <c r="S1623" s="206" t="s">
        <v>117</v>
      </c>
      <c r="T1623" s="211">
        <v>0</v>
      </c>
      <c r="U1623" s="211">
        <v>0</v>
      </c>
      <c r="V1623" s="213">
        <v>0</v>
      </c>
      <c r="W1623" s="213">
        <v>0</v>
      </c>
    </row>
    <row r="1624" spans="1:23" ht="15" customHeight="1">
      <c r="C1624" s="3">
        <v>10</v>
      </c>
      <c r="D1624" s="15" t="s">
        <v>1192</v>
      </c>
      <c r="E1624" s="312" t="s">
        <v>95</v>
      </c>
      <c r="G1624" s="26">
        <v>0</v>
      </c>
      <c r="H1624" s="26">
        <v>0</v>
      </c>
      <c r="I1624" s="26">
        <v>0</v>
      </c>
      <c r="J1624" s="26">
        <v>0</v>
      </c>
      <c r="K1624" s="26">
        <v>0</v>
      </c>
      <c r="L1624" s="26">
        <v>0</v>
      </c>
      <c r="M1624" s="26">
        <v>0</v>
      </c>
      <c r="N1624" s="26">
        <v>0</v>
      </c>
      <c r="P1624" s="202">
        <v>1608</v>
      </c>
      <c r="Q1624" s="210">
        <v>10</v>
      </c>
      <c r="R1624" s="205" t="s">
        <v>1294</v>
      </c>
      <c r="S1624" s="206" t="s">
        <v>119</v>
      </c>
      <c r="T1624" s="211">
        <v>575</v>
      </c>
      <c r="U1624" s="211">
        <v>0</v>
      </c>
      <c r="V1624" s="213">
        <v>46.05</v>
      </c>
      <c r="W1624" s="213">
        <v>8.01</v>
      </c>
    </row>
    <row r="1625" spans="1:23" ht="15" customHeight="1">
      <c r="C1625" s="3">
        <v>10</v>
      </c>
      <c r="D1625" s="15" t="s">
        <v>1193</v>
      </c>
      <c r="E1625" s="312" t="s">
        <v>97</v>
      </c>
      <c r="G1625" s="26">
        <v>156</v>
      </c>
      <c r="H1625" s="26">
        <v>0</v>
      </c>
      <c r="I1625" s="26">
        <v>0</v>
      </c>
      <c r="J1625" s="26">
        <v>16</v>
      </c>
      <c r="K1625" s="26">
        <v>16</v>
      </c>
      <c r="L1625" s="26">
        <v>112</v>
      </c>
      <c r="M1625" s="26">
        <f>144*1.33</f>
        <v>191.52</v>
      </c>
      <c r="N1625" s="26">
        <v>244</v>
      </c>
      <c r="P1625" s="202">
        <v>1609</v>
      </c>
      <c r="Q1625" s="210">
        <v>10</v>
      </c>
      <c r="R1625" s="205" t="s">
        <v>1295</v>
      </c>
      <c r="S1625" s="206" t="s">
        <v>121</v>
      </c>
      <c r="T1625" s="211">
        <v>0</v>
      </c>
      <c r="U1625" s="211">
        <v>0</v>
      </c>
      <c r="V1625" s="213">
        <v>0</v>
      </c>
      <c r="W1625" s="213">
        <v>0</v>
      </c>
    </row>
    <row r="1626" spans="1:23" ht="15" customHeight="1">
      <c r="C1626" s="3">
        <v>10</v>
      </c>
      <c r="D1626" s="15" t="s">
        <v>1194</v>
      </c>
      <c r="E1626" s="312" t="s">
        <v>99</v>
      </c>
      <c r="G1626" s="26">
        <v>59</v>
      </c>
      <c r="H1626" s="26">
        <v>59</v>
      </c>
      <c r="I1626" s="26">
        <v>59</v>
      </c>
      <c r="J1626" s="26">
        <v>59</v>
      </c>
      <c r="K1626" s="26">
        <v>59</v>
      </c>
      <c r="L1626" s="26">
        <v>57</v>
      </c>
      <c r="M1626" s="26">
        <f>57*1.33</f>
        <v>75.81</v>
      </c>
      <c r="N1626" s="26">
        <v>0</v>
      </c>
      <c r="P1626" s="202">
        <v>1610</v>
      </c>
      <c r="Q1626" s="210">
        <v>10</v>
      </c>
      <c r="R1626" s="205" t="s">
        <v>2488</v>
      </c>
      <c r="S1626" s="206" t="s">
        <v>123</v>
      </c>
      <c r="T1626" s="211">
        <v>0</v>
      </c>
      <c r="U1626" s="211">
        <v>0</v>
      </c>
      <c r="V1626" s="213">
        <v>78</v>
      </c>
      <c r="W1626" s="213">
        <v>0</v>
      </c>
    </row>
    <row r="1627" spans="1:23" ht="15" customHeight="1">
      <c r="C1627" s="3">
        <v>10</v>
      </c>
      <c r="D1627" s="15" t="s">
        <v>1195</v>
      </c>
      <c r="E1627" s="312" t="s">
        <v>101</v>
      </c>
      <c r="G1627" s="26">
        <v>0</v>
      </c>
      <c r="H1627" s="26">
        <v>0</v>
      </c>
      <c r="I1627" s="26">
        <v>0</v>
      </c>
      <c r="J1627" s="26">
        <v>0</v>
      </c>
      <c r="K1627" s="26">
        <v>0</v>
      </c>
      <c r="L1627" s="26">
        <v>0</v>
      </c>
      <c r="M1627" s="26">
        <v>0</v>
      </c>
      <c r="N1627" s="26">
        <v>0</v>
      </c>
      <c r="P1627" s="202">
        <v>1611</v>
      </c>
      <c r="Q1627" s="210">
        <v>10</v>
      </c>
      <c r="R1627" s="205" t="s">
        <v>1296</v>
      </c>
      <c r="S1627" s="206" t="s">
        <v>125</v>
      </c>
      <c r="T1627" s="211">
        <v>0</v>
      </c>
      <c r="U1627" s="211">
        <v>0</v>
      </c>
      <c r="V1627" s="213">
        <v>0</v>
      </c>
      <c r="W1627" s="213">
        <v>0</v>
      </c>
    </row>
    <row r="1628" spans="1:23" ht="15" customHeight="1">
      <c r="C1628" s="3">
        <v>10</v>
      </c>
      <c r="D1628" s="15" t="s">
        <v>1196</v>
      </c>
      <c r="E1628" s="312" t="s">
        <v>103</v>
      </c>
      <c r="G1628" s="26">
        <v>0</v>
      </c>
      <c r="H1628" s="26">
        <v>0</v>
      </c>
      <c r="I1628" s="26">
        <v>0</v>
      </c>
      <c r="J1628" s="26">
        <v>0</v>
      </c>
      <c r="K1628" s="26">
        <v>0</v>
      </c>
      <c r="L1628" s="26">
        <v>0</v>
      </c>
      <c r="M1628" s="26">
        <v>0</v>
      </c>
      <c r="N1628" s="26">
        <v>0</v>
      </c>
      <c r="P1628" s="202">
        <v>1612</v>
      </c>
      <c r="Q1628" s="210">
        <v>10</v>
      </c>
      <c r="R1628" s="205" t="s">
        <v>2489</v>
      </c>
      <c r="S1628" s="206" t="s">
        <v>106</v>
      </c>
      <c r="T1628" s="211">
        <v>0</v>
      </c>
      <c r="U1628" s="211">
        <v>52.82</v>
      </c>
      <c r="V1628" s="213">
        <v>153.59</v>
      </c>
      <c r="W1628" s="213">
        <v>0</v>
      </c>
    </row>
    <row r="1629" spans="1:23" ht="15" customHeight="1">
      <c r="G1629" s="26"/>
      <c r="H1629" s="26"/>
      <c r="I1629" s="26"/>
      <c r="J1629" s="26"/>
      <c r="K1629" s="26"/>
      <c r="L1629" s="26"/>
      <c r="M1629" s="26"/>
      <c r="N1629" s="26"/>
      <c r="P1629" s="202">
        <v>1613</v>
      </c>
      <c r="Q1629" s="210">
        <v>10</v>
      </c>
      <c r="R1629" s="205" t="s">
        <v>1297</v>
      </c>
      <c r="S1629" s="206" t="s">
        <v>132</v>
      </c>
      <c r="T1629" s="211">
        <v>0</v>
      </c>
      <c r="U1629" s="211">
        <v>228.85</v>
      </c>
      <c r="V1629" s="213">
        <v>330.3</v>
      </c>
      <c r="W1629" s="213">
        <v>0</v>
      </c>
    </row>
    <row r="1630" spans="1:23" s="72" customFormat="1" ht="15" customHeight="1">
      <c r="A1630" s="5" t="s">
        <v>2410</v>
      </c>
      <c r="B1630" s="5" t="s">
        <v>2317</v>
      </c>
      <c r="C1630" s="3"/>
      <c r="D1630" s="323" t="s">
        <v>2859</v>
      </c>
      <c r="E1630" s="323"/>
      <c r="F1630" s="324"/>
      <c r="G1630" s="325">
        <f>SUM(G1616:G1629)</f>
        <v>47628</v>
      </c>
      <c r="H1630" s="325">
        <f t="shared" ref="H1630:N1630" si="130">SUM(H1616:H1629)</f>
        <v>40405</v>
      </c>
      <c r="I1630" s="325">
        <f t="shared" si="130"/>
        <v>41766</v>
      </c>
      <c r="J1630" s="325">
        <f t="shared" si="130"/>
        <v>41645</v>
      </c>
      <c r="K1630" s="325">
        <f t="shared" si="130"/>
        <v>42700</v>
      </c>
      <c r="L1630" s="325">
        <f t="shared" si="130"/>
        <v>24732</v>
      </c>
      <c r="M1630" s="325">
        <f t="shared" si="130"/>
        <v>43219.169999999991</v>
      </c>
      <c r="N1630" s="325">
        <f t="shared" si="130"/>
        <v>44189</v>
      </c>
      <c r="O1630" s="286"/>
      <c r="P1630" s="202">
        <v>1614</v>
      </c>
      <c r="Q1630" s="210">
        <v>10</v>
      </c>
      <c r="R1630" s="205" t="s">
        <v>2623</v>
      </c>
      <c r="S1630" s="206"/>
      <c r="T1630" s="211"/>
      <c r="U1630" s="211"/>
      <c r="V1630" s="213"/>
      <c r="W1630" s="213"/>
    </row>
    <row r="1631" spans="1:23" s="46" customFormat="1" ht="15" customHeight="1">
      <c r="A1631" s="2"/>
      <c r="B1631" s="2"/>
      <c r="C1631" s="3"/>
      <c r="D1631" s="47"/>
      <c r="E1631" s="47"/>
      <c r="F1631" s="191"/>
      <c r="G1631" s="48"/>
      <c r="H1631" s="48"/>
      <c r="I1631" s="48"/>
      <c r="J1631" s="48"/>
      <c r="K1631" s="48"/>
      <c r="L1631" s="48"/>
      <c r="M1631" s="48"/>
      <c r="N1631" s="48"/>
      <c r="O1631" s="289"/>
      <c r="P1631" s="202">
        <v>1615</v>
      </c>
      <c r="Q1631" s="210">
        <v>10</v>
      </c>
      <c r="R1631" s="205" t="s">
        <v>104</v>
      </c>
      <c r="S1631" s="206"/>
      <c r="T1631" s="211">
        <v>3575</v>
      </c>
      <c r="U1631" s="211">
        <v>704.28</v>
      </c>
      <c r="V1631" s="213">
        <v>1871.87</v>
      </c>
      <c r="W1631" s="213">
        <v>0</v>
      </c>
    </row>
    <row r="1632" spans="1:23" ht="15" customHeight="1">
      <c r="D1632" s="47" t="s">
        <v>2860</v>
      </c>
      <c r="G1632" s="26"/>
      <c r="H1632" s="26"/>
      <c r="I1632" s="26"/>
      <c r="J1632" s="26"/>
      <c r="K1632" s="26"/>
      <c r="L1632" s="26"/>
      <c r="M1632" s="26"/>
      <c r="N1632" s="26"/>
      <c r="P1632" s="202">
        <v>1616</v>
      </c>
      <c r="Q1632" s="210">
        <v>10</v>
      </c>
      <c r="R1632" s="205" t="s">
        <v>135</v>
      </c>
      <c r="S1632" s="206"/>
      <c r="T1632" s="211"/>
      <c r="U1632" s="211"/>
      <c r="V1632" s="213"/>
      <c r="W1632" s="213"/>
    </row>
    <row r="1633" spans="3:23" ht="15" customHeight="1">
      <c r="G1633" s="26"/>
      <c r="H1633" s="26"/>
      <c r="I1633" s="26"/>
      <c r="J1633" s="26"/>
      <c r="K1633" s="26"/>
      <c r="L1633" s="26"/>
      <c r="M1633" s="26"/>
      <c r="N1633" s="26"/>
      <c r="P1633" s="202">
        <v>1617</v>
      </c>
      <c r="Q1633" s="210">
        <v>10</v>
      </c>
      <c r="R1633" s="205" t="s">
        <v>2626</v>
      </c>
      <c r="S1633" s="206"/>
      <c r="T1633" s="211"/>
      <c r="U1633" s="211"/>
      <c r="V1633" s="213"/>
      <c r="W1633" s="213"/>
    </row>
    <row r="1634" spans="3:23" ht="15" customHeight="1">
      <c r="C1634" s="3">
        <v>10</v>
      </c>
      <c r="D1634" s="15" t="s">
        <v>1197</v>
      </c>
      <c r="E1634" s="312" t="s">
        <v>115</v>
      </c>
      <c r="G1634" s="26">
        <v>0</v>
      </c>
      <c r="H1634" s="26">
        <v>0</v>
      </c>
      <c r="I1634" s="26">
        <v>0</v>
      </c>
      <c r="J1634" s="26">
        <v>0</v>
      </c>
      <c r="K1634" s="26">
        <v>0</v>
      </c>
      <c r="L1634" s="26">
        <v>9</v>
      </c>
      <c r="M1634" s="26">
        <v>16</v>
      </c>
      <c r="N1634" s="26">
        <v>0</v>
      </c>
      <c r="O1634" s="285"/>
      <c r="P1634" s="202">
        <v>1618</v>
      </c>
      <c r="Q1634" s="210">
        <v>10</v>
      </c>
      <c r="R1634" s="205" t="s">
        <v>1298</v>
      </c>
      <c r="S1634" s="206" t="s">
        <v>137</v>
      </c>
      <c r="T1634" s="211">
        <v>1000</v>
      </c>
      <c r="U1634" s="211">
        <v>207.64</v>
      </c>
      <c r="V1634" s="213">
        <v>720.08</v>
      </c>
      <c r="W1634" s="213">
        <v>72.010000000000005</v>
      </c>
    </row>
    <row r="1635" spans="3:23" ht="15" customHeight="1">
      <c r="C1635" s="3">
        <v>10</v>
      </c>
      <c r="D1635" s="15" t="s">
        <v>1198</v>
      </c>
      <c r="E1635" s="312" t="s">
        <v>117</v>
      </c>
      <c r="G1635" s="26">
        <v>74</v>
      </c>
      <c r="H1635" s="26">
        <v>91</v>
      </c>
      <c r="I1635" s="26">
        <v>129</v>
      </c>
      <c r="J1635" s="26">
        <v>81</v>
      </c>
      <c r="K1635" s="26">
        <v>115</v>
      </c>
      <c r="L1635" s="26">
        <v>69</v>
      </c>
      <c r="M1635" s="26">
        <v>118</v>
      </c>
      <c r="N1635" s="26">
        <v>125</v>
      </c>
      <c r="O1635" s="285"/>
      <c r="P1635" s="202">
        <v>1619</v>
      </c>
      <c r="Q1635" s="210">
        <v>10</v>
      </c>
      <c r="R1635" s="205" t="s">
        <v>1299</v>
      </c>
      <c r="S1635" s="206" t="s">
        <v>139</v>
      </c>
      <c r="T1635" s="211">
        <v>2000</v>
      </c>
      <c r="U1635" s="211">
        <v>0</v>
      </c>
      <c r="V1635" s="213">
        <v>0</v>
      </c>
      <c r="W1635" s="213">
        <v>0</v>
      </c>
    </row>
    <row r="1636" spans="3:23" ht="15" customHeight="1">
      <c r="C1636" s="3">
        <v>10</v>
      </c>
      <c r="D1636" s="15" t="s">
        <v>1199</v>
      </c>
      <c r="E1636" s="312" t="s">
        <v>119</v>
      </c>
      <c r="G1636" s="26">
        <v>0</v>
      </c>
      <c r="H1636" s="26">
        <v>73</v>
      </c>
      <c r="I1636" s="26">
        <v>73</v>
      </c>
      <c r="J1636" s="26">
        <v>0</v>
      </c>
      <c r="K1636" s="26">
        <v>0</v>
      </c>
      <c r="L1636" s="26">
        <v>0</v>
      </c>
      <c r="M1636" s="26">
        <v>0</v>
      </c>
      <c r="N1636" s="26">
        <v>0</v>
      </c>
      <c r="O1636" s="285"/>
      <c r="P1636" s="202">
        <v>1620</v>
      </c>
      <c r="Q1636" s="210">
        <v>10</v>
      </c>
      <c r="R1636" s="205" t="s">
        <v>1300</v>
      </c>
      <c r="S1636" s="206" t="s">
        <v>141</v>
      </c>
      <c r="T1636" s="211">
        <v>0</v>
      </c>
      <c r="U1636" s="211">
        <v>0</v>
      </c>
      <c r="V1636" s="213">
        <v>0</v>
      </c>
      <c r="W1636" s="213">
        <v>0</v>
      </c>
    </row>
    <row r="1637" spans="3:23" ht="15" customHeight="1">
      <c r="C1637" s="3">
        <v>10</v>
      </c>
      <c r="D1637" s="15" t="s">
        <v>1200</v>
      </c>
      <c r="E1637" s="312" t="s">
        <v>121</v>
      </c>
      <c r="G1637" s="26">
        <v>111</v>
      </c>
      <c r="H1637" s="26">
        <v>5</v>
      </c>
      <c r="I1637" s="26">
        <v>0</v>
      </c>
      <c r="J1637" s="26">
        <v>21</v>
      </c>
      <c r="K1637" s="26">
        <v>196</v>
      </c>
      <c r="L1637" s="26">
        <v>0</v>
      </c>
      <c r="M1637" s="26">
        <v>0</v>
      </c>
      <c r="N1637" s="26">
        <v>196</v>
      </c>
      <c r="O1637" s="285"/>
      <c r="P1637" s="202">
        <v>1621</v>
      </c>
      <c r="Q1637" s="210">
        <v>10</v>
      </c>
      <c r="R1637" s="205" t="s">
        <v>1301</v>
      </c>
      <c r="S1637" s="206" t="s">
        <v>151</v>
      </c>
      <c r="T1637" s="211">
        <v>0</v>
      </c>
      <c r="U1637" s="211">
        <v>0</v>
      </c>
      <c r="V1637" s="213">
        <v>0</v>
      </c>
      <c r="W1637" s="213">
        <v>0</v>
      </c>
    </row>
    <row r="1638" spans="3:23" ht="15" customHeight="1">
      <c r="C1638" s="3">
        <v>10</v>
      </c>
      <c r="D1638" s="15" t="s">
        <v>1201</v>
      </c>
      <c r="E1638" s="312" t="s">
        <v>123</v>
      </c>
      <c r="G1638" s="26">
        <v>0</v>
      </c>
      <c r="H1638" s="26">
        <v>24</v>
      </c>
      <c r="I1638" s="26">
        <v>0</v>
      </c>
      <c r="J1638" s="26">
        <v>0</v>
      </c>
      <c r="K1638" s="26">
        <v>0</v>
      </c>
      <c r="L1638" s="26">
        <v>0</v>
      </c>
      <c r="M1638" s="26">
        <v>0</v>
      </c>
      <c r="N1638" s="26">
        <v>0</v>
      </c>
      <c r="O1638" s="285"/>
      <c r="P1638" s="202">
        <v>1622</v>
      </c>
      <c r="Q1638" s="210">
        <v>10</v>
      </c>
      <c r="R1638" s="205" t="s">
        <v>1302</v>
      </c>
      <c r="S1638" s="206" t="s">
        <v>153</v>
      </c>
      <c r="T1638" s="211">
        <v>6000</v>
      </c>
      <c r="U1638" s="211">
        <v>12</v>
      </c>
      <c r="V1638" s="213">
        <v>2647.63</v>
      </c>
      <c r="W1638" s="213">
        <v>44.13</v>
      </c>
    </row>
    <row r="1639" spans="3:23" ht="15" customHeight="1">
      <c r="C1639" s="3">
        <v>10</v>
      </c>
      <c r="D1639" s="15" t="s">
        <v>1202</v>
      </c>
      <c r="E1639" s="312" t="s">
        <v>125</v>
      </c>
      <c r="G1639" s="26">
        <v>3</v>
      </c>
      <c r="H1639" s="26">
        <v>0</v>
      </c>
      <c r="I1639" s="26">
        <v>0</v>
      </c>
      <c r="J1639" s="26">
        <v>0</v>
      </c>
      <c r="K1639" s="26">
        <v>25</v>
      </c>
      <c r="L1639" s="26">
        <v>0</v>
      </c>
      <c r="M1639" s="26">
        <v>0</v>
      </c>
      <c r="N1639" s="26">
        <v>25</v>
      </c>
      <c r="O1639" s="285"/>
      <c r="P1639" s="202">
        <v>1623</v>
      </c>
      <c r="Q1639" s="210">
        <v>10</v>
      </c>
      <c r="R1639" s="205" t="s">
        <v>1303</v>
      </c>
      <c r="S1639" s="206" t="s">
        <v>1304</v>
      </c>
      <c r="T1639" s="211">
        <v>10000</v>
      </c>
      <c r="U1639" s="211">
        <v>0</v>
      </c>
      <c r="V1639" s="213">
        <v>0</v>
      </c>
      <c r="W1639" s="213">
        <v>0</v>
      </c>
    </row>
    <row r="1640" spans="3:23" ht="15" customHeight="1">
      <c r="C1640" s="3">
        <v>10</v>
      </c>
      <c r="D1640" s="15" t="s">
        <v>1203</v>
      </c>
      <c r="E1640" s="312" t="s">
        <v>106</v>
      </c>
      <c r="G1640" s="26">
        <v>0</v>
      </c>
      <c r="H1640" s="26">
        <v>1306</v>
      </c>
      <c r="I1640" s="26">
        <v>1557</v>
      </c>
      <c r="J1640" s="26">
        <v>2166</v>
      </c>
      <c r="K1640" s="26">
        <v>2200</v>
      </c>
      <c r="L1640" s="26">
        <v>930</v>
      </c>
      <c r="M1640" s="26">
        <v>1595</v>
      </c>
      <c r="N1640" s="26">
        <v>2398</v>
      </c>
      <c r="O1640" s="285"/>
      <c r="P1640" s="202">
        <v>1624</v>
      </c>
      <c r="Q1640" s="210">
        <v>10</v>
      </c>
      <c r="R1640" s="205" t="s">
        <v>1305</v>
      </c>
      <c r="S1640" s="206" t="s">
        <v>162</v>
      </c>
      <c r="T1640" s="211">
        <v>2500</v>
      </c>
      <c r="U1640" s="211">
        <v>262.2</v>
      </c>
      <c r="V1640" s="213">
        <v>2237.79</v>
      </c>
      <c r="W1640" s="213">
        <v>89.51</v>
      </c>
    </row>
    <row r="1641" spans="3:23" ht="15" customHeight="1">
      <c r="C1641" s="3">
        <v>10</v>
      </c>
      <c r="D1641" s="15" t="s">
        <v>1204</v>
      </c>
      <c r="E1641" s="312" t="s">
        <v>197</v>
      </c>
      <c r="G1641" s="26">
        <v>0</v>
      </c>
      <c r="H1641" s="26">
        <v>0</v>
      </c>
      <c r="I1641" s="26">
        <v>0</v>
      </c>
      <c r="J1641" s="26">
        <v>0</v>
      </c>
      <c r="K1641" s="26">
        <v>0</v>
      </c>
      <c r="L1641" s="26">
        <v>0</v>
      </c>
      <c r="M1641" s="26">
        <v>0</v>
      </c>
      <c r="N1641" s="26">
        <v>0</v>
      </c>
      <c r="O1641" s="285"/>
      <c r="P1641" s="202">
        <v>1625</v>
      </c>
      <c r="Q1641" s="210">
        <v>10</v>
      </c>
      <c r="R1641" s="205" t="s">
        <v>2623</v>
      </c>
      <c r="S1641" s="206"/>
      <c r="T1641" s="211"/>
      <c r="U1641" s="211"/>
      <c r="V1641" s="213"/>
      <c r="W1641" s="213"/>
    </row>
    <row r="1642" spans="3:23" ht="15" customHeight="1">
      <c r="C1642" s="3">
        <v>10</v>
      </c>
      <c r="D1642" s="15" t="s">
        <v>1205</v>
      </c>
      <c r="E1642" s="312" t="s">
        <v>128</v>
      </c>
      <c r="G1642" s="26">
        <v>11</v>
      </c>
      <c r="H1642" s="26">
        <v>0</v>
      </c>
      <c r="I1642" s="26">
        <v>0</v>
      </c>
      <c r="J1642" s="26">
        <v>0</v>
      </c>
      <c r="K1642" s="26">
        <v>0</v>
      </c>
      <c r="L1642" s="26">
        <v>0</v>
      </c>
      <c r="M1642" s="26">
        <v>0</v>
      </c>
      <c r="N1642" s="26">
        <v>0</v>
      </c>
      <c r="O1642" s="285"/>
      <c r="P1642" s="202">
        <v>1626</v>
      </c>
      <c r="Q1642" s="210">
        <v>10</v>
      </c>
      <c r="R1642" s="205" t="s">
        <v>135</v>
      </c>
      <c r="S1642" s="206"/>
      <c r="T1642" s="211">
        <v>21500</v>
      </c>
      <c r="U1642" s="211">
        <v>481.84</v>
      </c>
      <c r="V1642" s="213">
        <v>5605.5</v>
      </c>
      <c r="W1642" s="213">
        <v>0</v>
      </c>
    </row>
    <row r="1643" spans="3:23" ht="15" customHeight="1">
      <c r="C1643" s="3">
        <v>10</v>
      </c>
      <c r="D1643" s="15" t="s">
        <v>1206</v>
      </c>
      <c r="E1643" s="312" t="s">
        <v>200</v>
      </c>
      <c r="G1643" s="26">
        <v>358</v>
      </c>
      <c r="H1643" s="26">
        <v>297</v>
      </c>
      <c r="I1643" s="26">
        <v>364</v>
      </c>
      <c r="J1643" s="26">
        <v>408</v>
      </c>
      <c r="K1643" s="26">
        <v>436</v>
      </c>
      <c r="L1643" s="26">
        <v>188</v>
      </c>
      <c r="M1643" s="26">
        <v>322</v>
      </c>
      <c r="N1643" s="26">
        <v>436</v>
      </c>
      <c r="O1643" s="285"/>
      <c r="P1643" s="202">
        <v>1627</v>
      </c>
      <c r="Q1643" s="210">
        <v>10</v>
      </c>
      <c r="R1643" s="205" t="s">
        <v>163</v>
      </c>
      <c r="S1643" s="206"/>
      <c r="T1643" s="211"/>
      <c r="U1643" s="211"/>
      <c r="V1643" s="213"/>
      <c r="W1643" s="213"/>
    </row>
    <row r="1644" spans="3:23" ht="15" customHeight="1">
      <c r="C1644" s="3">
        <v>10</v>
      </c>
      <c r="D1644" s="15" t="s">
        <v>1207</v>
      </c>
      <c r="E1644" s="312" t="s">
        <v>202</v>
      </c>
      <c r="G1644" s="26">
        <v>0</v>
      </c>
      <c r="H1644" s="26">
        <v>-18</v>
      </c>
      <c r="I1644" s="26">
        <v>0</v>
      </c>
      <c r="J1644" s="26">
        <v>0</v>
      </c>
      <c r="K1644" s="26">
        <v>0</v>
      </c>
      <c r="L1644" s="26">
        <v>0</v>
      </c>
      <c r="M1644" s="26">
        <v>0</v>
      </c>
      <c r="N1644" s="26">
        <v>0</v>
      </c>
      <c r="O1644" s="285"/>
      <c r="P1644" s="202">
        <v>1628</v>
      </c>
      <c r="Q1644" s="210">
        <v>10</v>
      </c>
      <c r="R1644" s="205" t="s">
        <v>2627</v>
      </c>
      <c r="S1644" s="206"/>
      <c r="T1644" s="211"/>
      <c r="U1644" s="211"/>
      <c r="V1644" s="213"/>
      <c r="W1644" s="213"/>
    </row>
    <row r="1645" spans="3:23" ht="15" customHeight="1">
      <c r="C1645" s="3">
        <v>10</v>
      </c>
      <c r="D1645" s="15" t="s">
        <v>1208</v>
      </c>
      <c r="E1645" s="312" t="s">
        <v>130</v>
      </c>
      <c r="G1645" s="26">
        <v>2421</v>
      </c>
      <c r="H1645" s="26">
        <v>90</v>
      </c>
      <c r="I1645" s="26">
        <v>192</v>
      </c>
      <c r="J1645" s="26">
        <v>118</v>
      </c>
      <c r="K1645" s="26">
        <v>800</v>
      </c>
      <c r="L1645" s="26">
        <v>53</v>
      </c>
      <c r="M1645" s="26">
        <v>91</v>
      </c>
      <c r="N1645" s="26">
        <v>800</v>
      </c>
      <c r="O1645" s="285"/>
      <c r="P1645" s="202">
        <v>1629</v>
      </c>
      <c r="Q1645" s="210">
        <v>10</v>
      </c>
      <c r="R1645" s="205" t="s">
        <v>1306</v>
      </c>
      <c r="S1645" s="206" t="s">
        <v>433</v>
      </c>
      <c r="T1645" s="211">
        <v>0</v>
      </c>
      <c r="U1645" s="211">
        <v>0</v>
      </c>
      <c r="V1645" s="213">
        <v>0</v>
      </c>
      <c r="W1645" s="213">
        <v>0</v>
      </c>
    </row>
    <row r="1646" spans="3:23" ht="15" customHeight="1">
      <c r="C1646" s="3">
        <v>10</v>
      </c>
      <c r="D1646" s="15" t="s">
        <v>1209</v>
      </c>
      <c r="E1646" s="312" t="s">
        <v>132</v>
      </c>
      <c r="G1646" s="26">
        <v>169</v>
      </c>
      <c r="H1646" s="26">
        <v>809</v>
      </c>
      <c r="I1646" s="26">
        <v>931</v>
      </c>
      <c r="J1646" s="26">
        <v>230</v>
      </c>
      <c r="K1646" s="26">
        <v>500</v>
      </c>
      <c r="L1646" s="26">
        <v>153</v>
      </c>
      <c r="M1646" s="26">
        <v>262</v>
      </c>
      <c r="N1646" s="26">
        <v>500</v>
      </c>
      <c r="O1646" s="285"/>
      <c r="P1646" s="202">
        <v>1630</v>
      </c>
      <c r="Q1646" s="210">
        <v>10</v>
      </c>
      <c r="R1646" s="205" t="s">
        <v>2490</v>
      </c>
      <c r="S1646" s="206" t="s">
        <v>171</v>
      </c>
      <c r="T1646" s="211">
        <v>0</v>
      </c>
      <c r="U1646" s="211">
        <v>0</v>
      </c>
      <c r="V1646" s="213">
        <v>293.81</v>
      </c>
      <c r="W1646" s="213">
        <v>0</v>
      </c>
    </row>
    <row r="1647" spans="3:23" ht="15" customHeight="1">
      <c r="C1647" s="3">
        <v>10</v>
      </c>
      <c r="D1647" s="15" t="s">
        <v>1210</v>
      </c>
      <c r="E1647" s="312" t="s">
        <v>206</v>
      </c>
      <c r="G1647" s="26">
        <v>0</v>
      </c>
      <c r="H1647" s="26">
        <v>0</v>
      </c>
      <c r="I1647" s="26">
        <v>0</v>
      </c>
      <c r="J1647" s="26">
        <v>9</v>
      </c>
      <c r="K1647" s="26">
        <v>0</v>
      </c>
      <c r="L1647" s="26">
        <v>0</v>
      </c>
      <c r="M1647" s="26">
        <v>0</v>
      </c>
      <c r="N1647" s="26">
        <v>0</v>
      </c>
      <c r="O1647" s="285"/>
      <c r="P1647" s="202">
        <v>1631</v>
      </c>
      <c r="Q1647" s="210">
        <v>10</v>
      </c>
      <c r="R1647" s="205" t="s">
        <v>2623</v>
      </c>
      <c r="S1647" s="206"/>
      <c r="T1647" s="211"/>
      <c r="U1647" s="211"/>
      <c r="V1647" s="213"/>
      <c r="W1647" s="213"/>
    </row>
    <row r="1648" spans="3:23" ht="15" customHeight="1">
      <c r="C1648" s="3">
        <v>10</v>
      </c>
      <c r="D1648" s="15" t="s">
        <v>1211</v>
      </c>
      <c r="E1648" s="312" t="s">
        <v>208</v>
      </c>
      <c r="G1648" s="26">
        <v>0</v>
      </c>
      <c r="H1648" s="26">
        <v>0</v>
      </c>
      <c r="I1648" s="26">
        <v>0</v>
      </c>
      <c r="J1648" s="26">
        <v>323</v>
      </c>
      <c r="K1648" s="26">
        <v>0</v>
      </c>
      <c r="L1648" s="26">
        <v>0</v>
      </c>
      <c r="M1648" s="26">
        <v>0</v>
      </c>
      <c r="N1648" s="26">
        <v>0</v>
      </c>
      <c r="O1648" s="285"/>
      <c r="P1648" s="202">
        <v>1632</v>
      </c>
      <c r="Q1648" s="210">
        <v>10</v>
      </c>
      <c r="R1648" s="205" t="s">
        <v>163</v>
      </c>
      <c r="S1648" s="206"/>
      <c r="T1648" s="211">
        <v>0</v>
      </c>
      <c r="U1648" s="211">
        <v>0</v>
      </c>
      <c r="V1648" s="213">
        <v>293.81</v>
      </c>
      <c r="W1648" s="213">
        <v>0</v>
      </c>
    </row>
    <row r="1649" spans="1:23" ht="15" customHeight="1">
      <c r="C1649" s="3">
        <v>10</v>
      </c>
      <c r="D1649" s="15" t="s">
        <v>1212</v>
      </c>
      <c r="E1649" s="312" t="s">
        <v>210</v>
      </c>
      <c r="G1649" s="26">
        <v>16</v>
      </c>
      <c r="H1649" s="26">
        <v>0</v>
      </c>
      <c r="I1649" s="26">
        <v>0</v>
      </c>
      <c r="J1649" s="26">
        <v>0</v>
      </c>
      <c r="K1649" s="26">
        <v>0</v>
      </c>
      <c r="L1649" s="26">
        <v>0</v>
      </c>
      <c r="M1649" s="26">
        <v>0</v>
      </c>
      <c r="N1649" s="26">
        <v>0</v>
      </c>
      <c r="O1649" s="285"/>
      <c r="P1649" s="202">
        <v>1633</v>
      </c>
      <c r="Q1649" s="210">
        <v>10</v>
      </c>
      <c r="R1649" s="205" t="s">
        <v>2623</v>
      </c>
      <c r="S1649" s="206"/>
      <c r="T1649" s="211"/>
      <c r="U1649" s="211"/>
      <c r="V1649" s="213"/>
      <c r="W1649" s="213"/>
    </row>
    <row r="1650" spans="1:23" ht="15" customHeight="1">
      <c r="C1650" s="3">
        <v>10</v>
      </c>
      <c r="D1650" s="15" t="s">
        <v>1213</v>
      </c>
      <c r="E1650" s="312" t="s">
        <v>134</v>
      </c>
      <c r="G1650" s="26">
        <v>0</v>
      </c>
      <c r="H1650" s="26">
        <v>0</v>
      </c>
      <c r="I1650" s="26">
        <v>0</v>
      </c>
      <c r="J1650" s="26">
        <v>0</v>
      </c>
      <c r="K1650" s="26">
        <v>0</v>
      </c>
      <c r="L1650" s="26">
        <v>0</v>
      </c>
      <c r="M1650" s="26">
        <v>0</v>
      </c>
      <c r="N1650" s="26">
        <v>0</v>
      </c>
      <c r="O1650" s="285"/>
      <c r="P1650" s="202">
        <v>1634</v>
      </c>
      <c r="Q1650" s="210">
        <v>10</v>
      </c>
      <c r="R1650" s="205" t="s">
        <v>18</v>
      </c>
      <c r="S1650" s="206"/>
      <c r="T1650" s="211">
        <v>86586</v>
      </c>
      <c r="U1650" s="211">
        <v>6522.76</v>
      </c>
      <c r="V1650" s="213">
        <v>49756.44</v>
      </c>
      <c r="W1650" s="213">
        <v>57.46</v>
      </c>
    </row>
    <row r="1651" spans="1:23" ht="15" customHeight="1">
      <c r="C1651" s="3">
        <v>10</v>
      </c>
      <c r="D1651" s="15" t="s">
        <v>1214</v>
      </c>
      <c r="E1651" s="312" t="s">
        <v>213</v>
      </c>
      <c r="G1651" s="26">
        <v>0</v>
      </c>
      <c r="H1651" s="26">
        <v>0</v>
      </c>
      <c r="I1651" s="26">
        <v>0</v>
      </c>
      <c r="J1651" s="26">
        <v>0</v>
      </c>
      <c r="K1651" s="26">
        <v>0</v>
      </c>
      <c r="L1651" s="26">
        <v>0</v>
      </c>
      <c r="M1651" s="26">
        <v>0</v>
      </c>
      <c r="N1651" s="26">
        <v>0</v>
      </c>
      <c r="O1651" s="285"/>
      <c r="P1651" s="202">
        <v>1635</v>
      </c>
      <c r="Q1651" s="210">
        <v>10</v>
      </c>
      <c r="R1651" s="205" t="s">
        <v>2618</v>
      </c>
      <c r="S1651" s="206"/>
      <c r="T1651" s="211">
        <v>6457922</v>
      </c>
      <c r="U1651" s="211">
        <v>675806.83</v>
      </c>
      <c r="V1651" s="213">
        <v>4373215.42</v>
      </c>
      <c r="W1651" s="213">
        <v>67.72</v>
      </c>
    </row>
    <row r="1652" spans="1:23" ht="15" customHeight="1">
      <c r="G1652" s="26"/>
      <c r="H1652" s="26"/>
      <c r="I1652" s="26"/>
      <c r="J1652" s="26"/>
      <c r="K1652" s="26"/>
      <c r="L1652" s="26"/>
      <c r="M1652" s="26"/>
      <c r="N1652" s="26"/>
      <c r="P1652" s="202">
        <v>1636</v>
      </c>
      <c r="Q1652" s="210">
        <v>10</v>
      </c>
      <c r="R1652" s="205" t="s">
        <v>2619</v>
      </c>
      <c r="S1652" s="206"/>
      <c r="T1652" s="211">
        <v>4551</v>
      </c>
      <c r="U1652" s="211">
        <v>-267742.2</v>
      </c>
      <c r="V1652" s="213">
        <v>101487.09</v>
      </c>
      <c r="W1652" s="213">
        <v>0</v>
      </c>
    </row>
    <row r="1653" spans="1:23" s="200" customFormat="1" ht="15" customHeight="1">
      <c r="A1653" s="196" t="s">
        <v>104</v>
      </c>
      <c r="B1653" s="196" t="s">
        <v>2317</v>
      </c>
      <c r="C1653" s="75"/>
      <c r="D1653" s="323" t="s">
        <v>2861</v>
      </c>
      <c r="E1653" s="323"/>
      <c r="F1653" s="324"/>
      <c r="G1653" s="325">
        <f>SUM(G1632:G1652)</f>
        <v>3163</v>
      </c>
      <c r="H1653" s="325">
        <f t="shared" ref="H1653:N1653" si="131">SUM(H1632:H1652)</f>
        <v>2677</v>
      </c>
      <c r="I1653" s="325">
        <f t="shared" si="131"/>
        <v>3246</v>
      </c>
      <c r="J1653" s="325">
        <f t="shared" si="131"/>
        <v>3356</v>
      </c>
      <c r="K1653" s="325">
        <f t="shared" si="131"/>
        <v>4272</v>
      </c>
      <c r="L1653" s="325">
        <f t="shared" si="131"/>
        <v>1402</v>
      </c>
      <c r="M1653" s="325">
        <f t="shared" si="131"/>
        <v>2404</v>
      </c>
      <c r="N1653" s="325">
        <f t="shared" si="131"/>
        <v>4480</v>
      </c>
      <c r="O1653" s="287"/>
      <c r="P1653" s="202">
        <v>1637</v>
      </c>
      <c r="Q1653" s="210">
        <v>10</v>
      </c>
      <c r="R1653" s="205" t="s">
        <v>2630</v>
      </c>
      <c r="S1653" s="206"/>
      <c r="T1653" s="211"/>
      <c r="U1653" s="211"/>
      <c r="V1653" s="213"/>
      <c r="W1653" s="213"/>
    </row>
    <row r="1654" spans="1:23" s="46" customFormat="1" ht="15" customHeight="1">
      <c r="A1654" s="2"/>
      <c r="B1654" s="2"/>
      <c r="C1654" s="3"/>
      <c r="D1654" s="47"/>
      <c r="E1654" s="47"/>
      <c r="F1654" s="191"/>
      <c r="G1654" s="48"/>
      <c r="H1654" s="48"/>
      <c r="I1654" s="48"/>
      <c r="J1654" s="48"/>
      <c r="K1654" s="48"/>
      <c r="L1654" s="48"/>
      <c r="M1654" s="48"/>
      <c r="N1654" s="48"/>
      <c r="O1654" s="47"/>
    </row>
    <row r="1655" spans="1:23" ht="15" customHeight="1">
      <c r="D1655" s="47" t="s">
        <v>2862</v>
      </c>
      <c r="G1655" s="26"/>
      <c r="H1655" s="26"/>
      <c r="I1655" s="26"/>
      <c r="J1655" s="26"/>
      <c r="K1655" s="26"/>
      <c r="L1655" s="26"/>
      <c r="M1655" s="26"/>
      <c r="N1655" s="26"/>
    </row>
    <row r="1656" spans="1:23" ht="15" customHeight="1">
      <c r="G1656" s="26"/>
      <c r="H1656" s="26"/>
      <c r="I1656" s="26"/>
      <c r="J1656" s="26"/>
      <c r="K1656" s="26"/>
      <c r="L1656" s="26"/>
      <c r="M1656" s="26"/>
      <c r="N1656" s="26"/>
    </row>
    <row r="1657" spans="1:23" ht="15" customHeight="1">
      <c r="C1657" s="3">
        <v>10</v>
      </c>
      <c r="D1657" s="15" t="s">
        <v>1215</v>
      </c>
      <c r="E1657" s="312" t="s">
        <v>137</v>
      </c>
      <c r="G1657" s="26">
        <v>70</v>
      </c>
      <c r="H1657" s="26">
        <v>-33</v>
      </c>
      <c r="I1657" s="26">
        <v>0</v>
      </c>
      <c r="J1657" s="26">
        <v>0</v>
      </c>
      <c r="K1657" s="26">
        <v>350</v>
      </c>
      <c r="L1657" s="26">
        <v>197</v>
      </c>
      <c r="M1657" s="26">
        <v>338</v>
      </c>
      <c r="N1657" s="26">
        <v>350</v>
      </c>
      <c r="O1657" s="285"/>
    </row>
    <row r="1658" spans="1:23" ht="15" customHeight="1">
      <c r="C1658" s="3">
        <v>10</v>
      </c>
      <c r="D1658" s="15" t="s">
        <v>1216</v>
      </c>
      <c r="E1658" s="312" t="s">
        <v>216</v>
      </c>
      <c r="G1658" s="26">
        <v>0</v>
      </c>
      <c r="H1658" s="26">
        <v>0</v>
      </c>
      <c r="I1658" s="26">
        <v>20</v>
      </c>
      <c r="J1658" s="26">
        <v>0</v>
      </c>
      <c r="K1658" s="26">
        <v>0</v>
      </c>
      <c r="L1658" s="26">
        <v>0</v>
      </c>
      <c r="M1658" s="26">
        <v>0</v>
      </c>
      <c r="N1658" s="26">
        <v>0</v>
      </c>
      <c r="O1658" s="285"/>
    </row>
    <row r="1659" spans="1:23" ht="15" customHeight="1">
      <c r="C1659" s="3">
        <v>10</v>
      </c>
      <c r="D1659" s="15" t="s">
        <v>1217</v>
      </c>
      <c r="E1659" s="312" t="s">
        <v>139</v>
      </c>
      <c r="G1659" s="26">
        <v>206</v>
      </c>
      <c r="H1659" s="26">
        <v>708</v>
      </c>
      <c r="I1659" s="26">
        <v>0</v>
      </c>
      <c r="J1659" s="26">
        <v>0</v>
      </c>
      <c r="K1659" s="26">
        <v>300</v>
      </c>
      <c r="L1659" s="26">
        <v>0</v>
      </c>
      <c r="M1659" s="26">
        <v>0</v>
      </c>
      <c r="N1659" s="26">
        <v>300</v>
      </c>
      <c r="O1659" s="285"/>
    </row>
    <row r="1660" spans="1:23" ht="15" customHeight="1">
      <c r="C1660" s="3">
        <v>10</v>
      </c>
      <c r="D1660" s="15" t="s">
        <v>1218</v>
      </c>
      <c r="E1660" s="312" t="s">
        <v>141</v>
      </c>
      <c r="G1660" s="26">
        <v>0</v>
      </c>
      <c r="H1660" s="26">
        <v>0</v>
      </c>
      <c r="I1660" s="26">
        <v>36</v>
      </c>
      <c r="J1660" s="26">
        <v>0</v>
      </c>
      <c r="K1660" s="26">
        <v>0</v>
      </c>
      <c r="L1660" s="26">
        <v>0</v>
      </c>
      <c r="M1660" s="26">
        <v>0</v>
      </c>
      <c r="N1660" s="26">
        <v>0</v>
      </c>
      <c r="O1660" s="285"/>
    </row>
    <row r="1661" spans="1:23" ht="15" customHeight="1">
      <c r="C1661" s="3">
        <v>10</v>
      </c>
      <c r="D1661" s="15" t="s">
        <v>1219</v>
      </c>
      <c r="E1661" s="312" t="s">
        <v>143</v>
      </c>
      <c r="G1661" s="26">
        <v>1278</v>
      </c>
      <c r="H1661" s="26">
        <v>2092</v>
      </c>
      <c r="I1661" s="26">
        <v>782</v>
      </c>
      <c r="J1661" s="26">
        <v>1384</v>
      </c>
      <c r="K1661" s="26">
        <v>3000</v>
      </c>
      <c r="L1661" s="26">
        <v>455</v>
      </c>
      <c r="M1661" s="26">
        <v>780</v>
      </c>
      <c r="N1661" s="26">
        <v>3000</v>
      </c>
      <c r="O1661" s="285"/>
    </row>
    <row r="1662" spans="1:23" ht="15" customHeight="1">
      <c r="C1662" s="3">
        <v>10</v>
      </c>
      <c r="D1662" s="15" t="s">
        <v>1220</v>
      </c>
      <c r="E1662" s="312" t="s">
        <v>145</v>
      </c>
      <c r="G1662" s="26">
        <v>0</v>
      </c>
      <c r="H1662" s="26">
        <v>0</v>
      </c>
      <c r="I1662" s="26">
        <v>0</v>
      </c>
      <c r="J1662" s="26">
        <v>0</v>
      </c>
      <c r="K1662" s="26">
        <v>0</v>
      </c>
      <c r="L1662" s="26">
        <v>0</v>
      </c>
      <c r="M1662" s="26">
        <v>0</v>
      </c>
      <c r="N1662" s="26">
        <v>0</v>
      </c>
      <c r="O1662" s="285"/>
    </row>
    <row r="1663" spans="1:23" ht="15" customHeight="1">
      <c r="C1663" s="3">
        <v>10</v>
      </c>
      <c r="D1663" s="15" t="s">
        <v>1221</v>
      </c>
      <c r="E1663" s="312" t="s">
        <v>147</v>
      </c>
      <c r="G1663" s="26">
        <v>0</v>
      </c>
      <c r="H1663" s="26">
        <v>0</v>
      </c>
      <c r="I1663" s="26">
        <v>29</v>
      </c>
      <c r="J1663" s="26">
        <v>0</v>
      </c>
      <c r="K1663" s="26">
        <v>0</v>
      </c>
      <c r="L1663" s="26">
        <v>0</v>
      </c>
      <c r="M1663" s="26">
        <v>0</v>
      </c>
      <c r="N1663" s="26">
        <v>0</v>
      </c>
      <c r="O1663" s="285"/>
    </row>
    <row r="1664" spans="1:23" ht="15" customHeight="1">
      <c r="C1664" s="3">
        <v>10</v>
      </c>
      <c r="D1664" s="15" t="s">
        <v>1222</v>
      </c>
      <c r="E1664" s="312" t="s">
        <v>149</v>
      </c>
      <c r="G1664" s="26">
        <v>0</v>
      </c>
      <c r="H1664" s="26">
        <v>0</v>
      </c>
      <c r="I1664" s="26">
        <v>15</v>
      </c>
      <c r="J1664" s="26">
        <v>120</v>
      </c>
      <c r="K1664" s="26">
        <v>0</v>
      </c>
      <c r="L1664" s="26">
        <v>0</v>
      </c>
      <c r="M1664" s="26">
        <v>0</v>
      </c>
      <c r="N1664" s="26">
        <v>0</v>
      </c>
      <c r="O1664" s="285"/>
    </row>
    <row r="1665" spans="1:15" ht="15" customHeight="1">
      <c r="C1665" s="3">
        <v>10</v>
      </c>
      <c r="D1665" s="15" t="s">
        <v>1223</v>
      </c>
      <c r="E1665" s="312" t="s">
        <v>151</v>
      </c>
      <c r="G1665" s="26">
        <v>0</v>
      </c>
      <c r="H1665" s="26">
        <v>0</v>
      </c>
      <c r="I1665" s="26">
        <v>0</v>
      </c>
      <c r="J1665" s="26">
        <v>0</v>
      </c>
      <c r="K1665" s="26">
        <v>0</v>
      </c>
      <c r="L1665" s="26">
        <v>0</v>
      </c>
      <c r="M1665" s="26">
        <v>0</v>
      </c>
      <c r="N1665" s="26">
        <v>0</v>
      </c>
      <c r="O1665" s="285"/>
    </row>
    <row r="1666" spans="1:15" ht="15" customHeight="1">
      <c r="C1666" s="3">
        <v>10</v>
      </c>
      <c r="D1666" s="15" t="s">
        <v>1224</v>
      </c>
      <c r="E1666" s="312" t="s">
        <v>153</v>
      </c>
      <c r="G1666" s="26">
        <v>59</v>
      </c>
      <c r="H1666" s="26">
        <v>0</v>
      </c>
      <c r="I1666" s="26">
        <v>0</v>
      </c>
      <c r="J1666" s="26">
        <v>0</v>
      </c>
      <c r="K1666" s="26">
        <v>0</v>
      </c>
      <c r="L1666" s="26">
        <v>0</v>
      </c>
      <c r="M1666" s="26">
        <v>0</v>
      </c>
      <c r="N1666" s="26">
        <v>0</v>
      </c>
      <c r="O1666" s="285"/>
    </row>
    <row r="1667" spans="1:15" ht="15" customHeight="1">
      <c r="C1667" s="3">
        <v>10</v>
      </c>
      <c r="D1667" s="15" t="s">
        <v>1225</v>
      </c>
      <c r="E1667" s="312" t="s">
        <v>157</v>
      </c>
      <c r="G1667" s="26">
        <v>0</v>
      </c>
      <c r="H1667" s="26">
        <v>0</v>
      </c>
      <c r="I1667" s="26">
        <v>0</v>
      </c>
      <c r="J1667" s="26">
        <v>0</v>
      </c>
      <c r="K1667" s="26">
        <v>0</v>
      </c>
      <c r="L1667" s="26">
        <v>0</v>
      </c>
      <c r="M1667" s="26">
        <v>0</v>
      </c>
      <c r="N1667" s="26">
        <v>0</v>
      </c>
      <c r="O1667" s="285"/>
    </row>
    <row r="1668" spans="1:15" ht="15" customHeight="1">
      <c r="C1668" s="3">
        <v>10</v>
      </c>
      <c r="D1668" s="15" t="s">
        <v>1226</v>
      </c>
      <c r="E1668" s="312" t="s">
        <v>159</v>
      </c>
      <c r="G1668" s="26">
        <v>0</v>
      </c>
      <c r="H1668" s="26">
        <v>0</v>
      </c>
      <c r="I1668" s="26">
        <v>0</v>
      </c>
      <c r="J1668" s="26">
        <v>5599</v>
      </c>
      <c r="K1668" s="26">
        <v>7768</v>
      </c>
      <c r="L1668" s="26">
        <v>3846</v>
      </c>
      <c r="M1668" s="26">
        <v>7768</v>
      </c>
      <c r="N1668" s="26">
        <v>8065</v>
      </c>
      <c r="O1668" s="285"/>
    </row>
    <row r="1669" spans="1:15" ht="15" customHeight="1">
      <c r="C1669" s="3">
        <v>10</v>
      </c>
      <c r="D1669" s="15" t="s">
        <v>1227</v>
      </c>
      <c r="E1669" s="312" t="s">
        <v>229</v>
      </c>
      <c r="G1669" s="26">
        <v>0</v>
      </c>
      <c r="H1669" s="26">
        <v>0</v>
      </c>
      <c r="I1669" s="26">
        <v>0</v>
      </c>
      <c r="J1669" s="26">
        <v>1970</v>
      </c>
      <c r="K1669" s="26">
        <v>1159</v>
      </c>
      <c r="L1669" s="26">
        <v>617</v>
      </c>
      <c r="M1669" s="26">
        <v>1159</v>
      </c>
      <c r="N1669" s="26">
        <v>864</v>
      </c>
      <c r="O1669" s="285">
        <v>8928</v>
      </c>
    </row>
    <row r="1670" spans="1:15" ht="15" customHeight="1">
      <c r="C1670" s="3">
        <v>10</v>
      </c>
      <c r="D1670" s="15" t="s">
        <v>1228</v>
      </c>
      <c r="E1670" s="312" t="s">
        <v>162</v>
      </c>
      <c r="G1670" s="26">
        <v>0</v>
      </c>
      <c r="H1670" s="26">
        <v>0</v>
      </c>
      <c r="I1670" s="26">
        <v>0</v>
      </c>
      <c r="J1670" s="26">
        <v>0</v>
      </c>
      <c r="K1670" s="26">
        <v>0</v>
      </c>
      <c r="L1670" s="26">
        <v>0</v>
      </c>
      <c r="M1670" s="26">
        <v>0</v>
      </c>
      <c r="N1670" s="26">
        <v>0</v>
      </c>
      <c r="O1670" s="285"/>
    </row>
    <row r="1671" spans="1:15" ht="15" customHeight="1">
      <c r="G1671" s="26"/>
      <c r="H1671" s="26"/>
      <c r="I1671" s="26"/>
      <c r="J1671" s="26"/>
      <c r="K1671" s="26"/>
      <c r="L1671" s="26"/>
      <c r="M1671" s="26"/>
      <c r="N1671" s="26"/>
    </row>
    <row r="1672" spans="1:15" s="22" customFormat="1" ht="15" customHeight="1">
      <c r="A1672" s="2" t="s">
        <v>135</v>
      </c>
      <c r="B1672" s="2" t="s">
        <v>2317</v>
      </c>
      <c r="C1672" s="3"/>
      <c r="D1672" s="323" t="s">
        <v>2863</v>
      </c>
      <c r="E1672" s="323"/>
      <c r="F1672" s="324"/>
      <c r="G1672" s="325">
        <f>SUM(G1655:G1671)</f>
        <v>1613</v>
      </c>
      <c r="H1672" s="325">
        <f t="shared" ref="H1672:N1672" si="132">SUM(H1655:H1671)</f>
        <v>2767</v>
      </c>
      <c r="I1672" s="325">
        <f t="shared" si="132"/>
        <v>882</v>
      </c>
      <c r="J1672" s="325">
        <f t="shared" si="132"/>
        <v>9073</v>
      </c>
      <c r="K1672" s="325">
        <f t="shared" si="132"/>
        <v>12577</v>
      </c>
      <c r="L1672" s="325">
        <f t="shared" si="132"/>
        <v>5115</v>
      </c>
      <c r="M1672" s="325">
        <f t="shared" si="132"/>
        <v>10045</v>
      </c>
      <c r="N1672" s="325">
        <f t="shared" si="132"/>
        <v>12579</v>
      </c>
      <c r="O1672" s="18"/>
    </row>
    <row r="1673" spans="1:15" s="46" customFormat="1" ht="15" customHeight="1">
      <c r="A1673" s="2"/>
      <c r="B1673" s="2"/>
      <c r="C1673" s="3"/>
      <c r="D1673" s="47"/>
      <c r="E1673" s="47"/>
      <c r="F1673" s="191"/>
      <c r="G1673" s="48"/>
      <c r="H1673" s="48"/>
      <c r="I1673" s="48"/>
      <c r="J1673" s="48"/>
      <c r="K1673" s="48"/>
      <c r="L1673" s="48"/>
      <c r="M1673" s="48"/>
      <c r="N1673" s="48"/>
      <c r="O1673" s="47"/>
    </row>
    <row r="1674" spans="1:15" ht="15" customHeight="1">
      <c r="D1674" s="47"/>
      <c r="G1674" s="26"/>
      <c r="H1674" s="26"/>
      <c r="I1674" s="26"/>
      <c r="J1674" s="26"/>
      <c r="K1674" s="26"/>
      <c r="L1674" s="26"/>
      <c r="M1674" s="26"/>
      <c r="N1674" s="26"/>
    </row>
    <row r="1675" spans="1:15" ht="15" customHeight="1">
      <c r="G1675" s="26"/>
      <c r="H1675" s="26"/>
      <c r="I1675" s="26"/>
      <c r="J1675" s="26"/>
      <c r="K1675" s="26"/>
      <c r="L1675" s="26"/>
      <c r="M1675" s="26"/>
      <c r="N1675" s="26"/>
    </row>
    <row r="1676" spans="1:15" ht="15" customHeight="1">
      <c r="C1676" s="3">
        <v>10</v>
      </c>
      <c r="D1676" s="15" t="s">
        <v>1229</v>
      </c>
      <c r="E1676" s="312" t="s">
        <v>232</v>
      </c>
      <c r="G1676" s="26">
        <v>0</v>
      </c>
      <c r="H1676" s="26">
        <v>125</v>
      </c>
      <c r="I1676" s="26">
        <v>52</v>
      </c>
      <c r="J1676" s="26">
        <v>0</v>
      </c>
      <c r="K1676" s="26">
        <v>0</v>
      </c>
      <c r="L1676" s="26">
        <v>0</v>
      </c>
      <c r="M1676" s="26">
        <v>0</v>
      </c>
      <c r="N1676" s="26">
        <v>0</v>
      </c>
      <c r="O1676" s="285"/>
    </row>
    <row r="1677" spans="1:15" ht="15" customHeight="1">
      <c r="C1677" s="3">
        <v>10</v>
      </c>
      <c r="D1677" s="15" t="s">
        <v>1230</v>
      </c>
      <c r="E1677" s="312" t="s">
        <v>329</v>
      </c>
      <c r="G1677" s="26">
        <v>0</v>
      </c>
      <c r="H1677" s="26">
        <v>0</v>
      </c>
      <c r="I1677" s="26">
        <v>0</v>
      </c>
      <c r="J1677" s="26">
        <v>0</v>
      </c>
      <c r="K1677" s="26">
        <v>0</v>
      </c>
      <c r="L1677" s="26">
        <v>0</v>
      </c>
      <c r="M1677" s="26">
        <v>0</v>
      </c>
      <c r="N1677" s="26">
        <v>0</v>
      </c>
      <c r="O1677" s="285"/>
    </row>
    <row r="1678" spans="1:15" ht="15" customHeight="1">
      <c r="C1678" s="3">
        <v>10</v>
      </c>
      <c r="D1678" s="15" t="s">
        <v>1231</v>
      </c>
      <c r="E1678" s="312" t="s">
        <v>165</v>
      </c>
      <c r="G1678" s="26">
        <v>136</v>
      </c>
      <c r="H1678" s="26">
        <v>0</v>
      </c>
      <c r="I1678" s="26">
        <v>96</v>
      </c>
      <c r="J1678" s="26">
        <v>30</v>
      </c>
      <c r="K1678" s="26">
        <v>0</v>
      </c>
      <c r="L1678" s="26">
        <v>0</v>
      </c>
      <c r="M1678" s="26">
        <v>0</v>
      </c>
      <c r="N1678" s="26">
        <v>0</v>
      </c>
      <c r="O1678" s="285"/>
    </row>
    <row r="1679" spans="1:15" ht="15" customHeight="1">
      <c r="C1679" s="3">
        <v>10</v>
      </c>
      <c r="D1679" s="15" t="s">
        <v>1232</v>
      </c>
      <c r="E1679" s="312" t="s">
        <v>167</v>
      </c>
      <c r="G1679" s="26">
        <v>217</v>
      </c>
      <c r="H1679" s="26">
        <v>160</v>
      </c>
      <c r="I1679" s="26">
        <v>66</v>
      </c>
      <c r="J1679" s="26">
        <v>157</v>
      </c>
      <c r="K1679" s="26">
        <v>200</v>
      </c>
      <c r="L1679" s="26">
        <v>0</v>
      </c>
      <c r="M1679" s="26">
        <v>0</v>
      </c>
      <c r="N1679" s="26">
        <v>1200</v>
      </c>
      <c r="O1679" s="285" t="s">
        <v>2700</v>
      </c>
    </row>
    <row r="1680" spans="1:15" ht="15" customHeight="1">
      <c r="C1680" s="3">
        <v>10</v>
      </c>
      <c r="D1680" s="15" t="s">
        <v>1233</v>
      </c>
      <c r="E1680" s="312" t="s">
        <v>169</v>
      </c>
      <c r="G1680" s="26">
        <v>82</v>
      </c>
      <c r="H1680" s="26">
        <v>240</v>
      </c>
      <c r="I1680" s="26">
        <v>336</v>
      </c>
      <c r="J1680" s="26">
        <v>291</v>
      </c>
      <c r="K1680" s="26">
        <v>200</v>
      </c>
      <c r="L1680" s="26">
        <v>121</v>
      </c>
      <c r="M1680" s="26">
        <v>207</v>
      </c>
      <c r="N1680" s="26">
        <v>200</v>
      </c>
      <c r="O1680" s="285"/>
    </row>
    <row r="1681" spans="1:15" ht="15" customHeight="1">
      <c r="C1681" s="3">
        <v>10</v>
      </c>
      <c r="D1681" s="15" t="s">
        <v>1234</v>
      </c>
      <c r="E1681" s="312" t="s">
        <v>171</v>
      </c>
      <c r="G1681" s="26">
        <v>26</v>
      </c>
      <c r="H1681" s="26">
        <v>506</v>
      </c>
      <c r="I1681" s="26">
        <v>235</v>
      </c>
      <c r="J1681" s="26">
        <v>292</v>
      </c>
      <c r="K1681" s="26">
        <v>300</v>
      </c>
      <c r="L1681" s="26">
        <v>15</v>
      </c>
      <c r="M1681" s="26">
        <v>26</v>
      </c>
      <c r="N1681" s="26">
        <v>300</v>
      </c>
      <c r="O1681" s="285"/>
    </row>
    <row r="1682" spans="1:15" ht="15" customHeight="1">
      <c r="C1682" s="3">
        <v>10</v>
      </c>
      <c r="D1682" s="15" t="s">
        <v>1235</v>
      </c>
      <c r="E1682" s="312" t="s">
        <v>173</v>
      </c>
      <c r="G1682" s="26">
        <v>0</v>
      </c>
      <c r="H1682" s="26">
        <v>405</v>
      </c>
      <c r="I1682" s="26">
        <v>476</v>
      </c>
      <c r="J1682" s="26">
        <v>1786</v>
      </c>
      <c r="K1682" s="26">
        <v>500</v>
      </c>
      <c r="L1682" s="26">
        <v>15</v>
      </c>
      <c r="M1682" s="26">
        <v>26</v>
      </c>
      <c r="N1682" s="26">
        <v>500</v>
      </c>
      <c r="O1682" s="285"/>
    </row>
    <row r="1683" spans="1:15" ht="15" customHeight="1">
      <c r="C1683" s="3">
        <v>10</v>
      </c>
      <c r="D1683" s="15" t="s">
        <v>1236</v>
      </c>
      <c r="E1683" s="312" t="s">
        <v>175</v>
      </c>
      <c r="G1683" s="26">
        <v>0</v>
      </c>
      <c r="H1683" s="26">
        <v>0</v>
      </c>
      <c r="I1683" s="26">
        <v>0</v>
      </c>
      <c r="J1683" s="26">
        <v>0</v>
      </c>
      <c r="K1683" s="26">
        <v>0</v>
      </c>
      <c r="L1683" s="26">
        <v>0</v>
      </c>
      <c r="M1683" s="26">
        <v>0</v>
      </c>
      <c r="N1683" s="26">
        <v>0</v>
      </c>
      <c r="O1683" s="285"/>
    </row>
    <row r="1684" spans="1:15" ht="15" customHeight="1">
      <c r="C1684" s="3">
        <v>10</v>
      </c>
      <c r="D1684" s="15" t="s">
        <v>1237</v>
      </c>
      <c r="E1684" s="312" t="s">
        <v>244</v>
      </c>
      <c r="G1684" s="26">
        <v>252</v>
      </c>
      <c r="H1684" s="26">
        <v>0</v>
      </c>
      <c r="I1684" s="26">
        <v>0</v>
      </c>
      <c r="J1684" s="26">
        <v>0</v>
      </c>
      <c r="K1684" s="26">
        <v>0</v>
      </c>
      <c r="L1684" s="26">
        <v>0</v>
      </c>
      <c r="M1684" s="26">
        <v>0</v>
      </c>
      <c r="N1684" s="26">
        <v>0</v>
      </c>
      <c r="O1684" s="285"/>
    </row>
    <row r="1685" spans="1:15" ht="15" customHeight="1">
      <c r="G1685" s="26"/>
      <c r="H1685" s="26"/>
      <c r="I1685" s="26"/>
      <c r="J1685" s="26"/>
      <c r="K1685" s="26"/>
      <c r="L1685" s="26"/>
      <c r="M1685" s="26"/>
      <c r="N1685" s="26"/>
    </row>
    <row r="1686" spans="1:15" s="23" customFormat="1" ht="15" customHeight="1">
      <c r="A1686" s="2" t="s">
        <v>163</v>
      </c>
      <c r="B1686" s="2" t="s">
        <v>2317</v>
      </c>
      <c r="C1686" s="3"/>
      <c r="D1686" s="323" t="s">
        <v>2864</v>
      </c>
      <c r="E1686" s="323"/>
      <c r="F1686" s="324"/>
      <c r="G1686" s="325">
        <f>SUM(G1674:G1685)</f>
        <v>713</v>
      </c>
      <c r="H1686" s="325">
        <f t="shared" ref="H1686:N1686" si="133">SUM(H1674:H1685)</f>
        <v>1436</v>
      </c>
      <c r="I1686" s="325">
        <f t="shared" si="133"/>
        <v>1261</v>
      </c>
      <c r="J1686" s="325">
        <f t="shared" si="133"/>
        <v>2556</v>
      </c>
      <c r="K1686" s="325">
        <f t="shared" si="133"/>
        <v>1200</v>
      </c>
      <c r="L1686" s="325">
        <f t="shared" si="133"/>
        <v>151</v>
      </c>
      <c r="M1686" s="325">
        <f t="shared" si="133"/>
        <v>259</v>
      </c>
      <c r="N1686" s="325">
        <f t="shared" si="133"/>
        <v>2200</v>
      </c>
      <c r="O1686" s="19"/>
    </row>
    <row r="1687" spans="1:15" s="46" customFormat="1" ht="15" customHeight="1">
      <c r="A1687" s="2"/>
      <c r="B1687" s="2"/>
      <c r="C1687" s="3"/>
      <c r="D1687" s="47"/>
      <c r="E1687" s="47"/>
      <c r="F1687" s="191"/>
      <c r="G1687" s="48"/>
      <c r="H1687" s="48"/>
      <c r="I1687" s="48"/>
      <c r="J1687" s="48"/>
      <c r="K1687" s="48"/>
      <c r="L1687" s="48"/>
      <c r="M1687" s="48"/>
      <c r="N1687" s="48"/>
      <c r="O1687" s="47"/>
    </row>
    <row r="1688" spans="1:15" ht="15" customHeight="1">
      <c r="D1688" s="47" t="s">
        <v>2865</v>
      </c>
      <c r="G1688" s="26"/>
      <c r="H1688" s="26"/>
      <c r="I1688" s="26"/>
      <c r="J1688" s="26"/>
      <c r="K1688" s="26"/>
      <c r="L1688" s="26"/>
      <c r="M1688" s="26"/>
      <c r="N1688" s="26"/>
    </row>
    <row r="1689" spans="1:15" ht="15" customHeight="1">
      <c r="G1689" s="26"/>
      <c r="H1689" s="26"/>
      <c r="I1689" s="26"/>
      <c r="J1689" s="26"/>
      <c r="K1689" s="26"/>
      <c r="L1689" s="26"/>
      <c r="M1689" s="26"/>
      <c r="N1689" s="26"/>
    </row>
    <row r="1690" spans="1:15" ht="15" customHeight="1">
      <c r="C1690" s="3">
        <v>10</v>
      </c>
      <c r="D1690" s="15" t="s">
        <v>1238</v>
      </c>
      <c r="E1690" s="312" t="s">
        <v>329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85"/>
    </row>
    <row r="1691" spans="1:15" ht="15" customHeight="1">
      <c r="C1691" s="3">
        <v>10</v>
      </c>
      <c r="D1691" s="15" t="s">
        <v>1239</v>
      </c>
      <c r="E1691" s="312" t="s">
        <v>165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85"/>
    </row>
    <row r="1692" spans="1:15" ht="15" customHeight="1">
      <c r="C1692" s="3">
        <v>10</v>
      </c>
      <c r="D1692" s="15" t="s">
        <v>1240</v>
      </c>
      <c r="E1692" s="312" t="s">
        <v>167</v>
      </c>
      <c r="G1692" s="26">
        <v>0</v>
      </c>
      <c r="H1692" s="26">
        <v>0</v>
      </c>
      <c r="I1692" s="26">
        <v>0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285"/>
    </row>
    <row r="1693" spans="1:15" ht="15" customHeight="1">
      <c r="C1693" s="3">
        <v>10</v>
      </c>
      <c r="D1693" s="15" t="s">
        <v>1241</v>
      </c>
      <c r="E1693" s="312" t="s">
        <v>247</v>
      </c>
      <c r="G1693" s="26">
        <v>0</v>
      </c>
      <c r="H1693" s="26">
        <v>0</v>
      </c>
      <c r="I1693" s="26">
        <v>0</v>
      </c>
      <c r="J1693" s="26">
        <v>0</v>
      </c>
      <c r="K1693" s="26">
        <v>0</v>
      </c>
      <c r="L1693" s="26">
        <v>0</v>
      </c>
      <c r="M1693" s="26">
        <v>0</v>
      </c>
      <c r="N1693" s="26">
        <v>0</v>
      </c>
      <c r="O1693" s="285"/>
    </row>
    <row r="1694" spans="1:15" ht="15" customHeight="1">
      <c r="C1694" s="3">
        <v>10</v>
      </c>
      <c r="D1694" s="15" t="s">
        <v>1242</v>
      </c>
      <c r="E1694" s="312" t="s">
        <v>461</v>
      </c>
      <c r="G1694" s="26">
        <v>0</v>
      </c>
      <c r="H1694" s="26">
        <v>0</v>
      </c>
      <c r="I1694" s="26">
        <v>-39900</v>
      </c>
      <c r="J1694" s="26">
        <v>0</v>
      </c>
      <c r="K1694" s="26">
        <v>0</v>
      </c>
      <c r="L1694" s="26">
        <v>0</v>
      </c>
      <c r="M1694" s="26">
        <v>0</v>
      </c>
      <c r="N1694" s="26">
        <v>0</v>
      </c>
      <c r="O1694" s="285"/>
    </row>
    <row r="1695" spans="1:15" ht="15" customHeight="1">
      <c r="C1695" s="3">
        <v>10</v>
      </c>
      <c r="D1695" s="15" t="s">
        <v>1243</v>
      </c>
      <c r="E1695" s="312" t="s">
        <v>382</v>
      </c>
      <c r="G1695" s="26">
        <v>0</v>
      </c>
      <c r="H1695" s="26">
        <v>48500</v>
      </c>
      <c r="I1695" s="26">
        <v>148</v>
      </c>
      <c r="J1695" s="26">
        <v>0</v>
      </c>
      <c r="K1695" s="26">
        <v>0</v>
      </c>
      <c r="L1695" s="26">
        <v>0</v>
      </c>
      <c r="M1695" s="26">
        <v>0</v>
      </c>
      <c r="N1695" s="26">
        <v>0</v>
      </c>
      <c r="O1695" s="285"/>
    </row>
    <row r="1696" spans="1:15" ht="15" customHeight="1">
      <c r="C1696" s="3">
        <v>10</v>
      </c>
      <c r="D1696" s="15" t="s">
        <v>1244</v>
      </c>
      <c r="E1696" s="312" t="s">
        <v>173</v>
      </c>
      <c r="G1696" s="26">
        <v>0</v>
      </c>
      <c r="H1696" s="26">
        <v>0</v>
      </c>
      <c r="I1696" s="26">
        <v>0</v>
      </c>
      <c r="J1696" s="26">
        <v>0</v>
      </c>
      <c r="K1696" s="26">
        <v>0</v>
      </c>
      <c r="L1696" s="26">
        <v>0</v>
      </c>
      <c r="M1696" s="26">
        <v>0</v>
      </c>
      <c r="N1696" s="26">
        <v>0</v>
      </c>
      <c r="O1696" s="285"/>
    </row>
    <row r="1697" spans="1:15" ht="15" customHeight="1">
      <c r="C1697" s="3">
        <v>10</v>
      </c>
      <c r="D1697" s="15" t="s">
        <v>1245</v>
      </c>
      <c r="E1697" s="312" t="s">
        <v>244</v>
      </c>
      <c r="G1697" s="26">
        <v>0</v>
      </c>
      <c r="H1697" s="26">
        <v>0</v>
      </c>
      <c r="I1697" s="26">
        <v>0</v>
      </c>
      <c r="J1697" s="26">
        <v>0</v>
      </c>
      <c r="K1697" s="26">
        <v>0</v>
      </c>
      <c r="L1697" s="26">
        <v>0</v>
      </c>
      <c r="M1697" s="26">
        <v>0</v>
      </c>
      <c r="N1697" s="26">
        <v>0</v>
      </c>
      <c r="O1697" s="285"/>
    </row>
    <row r="1698" spans="1:15" ht="15" customHeight="1">
      <c r="G1698" s="26"/>
      <c r="H1698" s="26"/>
      <c r="I1698" s="26"/>
      <c r="J1698" s="26"/>
      <c r="K1698" s="26"/>
      <c r="L1698" s="26"/>
      <c r="M1698" s="26"/>
      <c r="N1698" s="26"/>
    </row>
    <row r="1699" spans="1:15" s="24" customFormat="1" ht="15" customHeight="1">
      <c r="A1699" s="2" t="s">
        <v>245</v>
      </c>
      <c r="B1699" s="2" t="s">
        <v>2317</v>
      </c>
      <c r="C1699" s="3"/>
      <c r="D1699" s="323" t="s">
        <v>2866</v>
      </c>
      <c r="E1699" s="323"/>
      <c r="F1699" s="324"/>
      <c r="G1699" s="325">
        <f>SUM(G1688:G1698)</f>
        <v>0</v>
      </c>
      <c r="H1699" s="325">
        <f t="shared" ref="H1699:N1699" si="134">SUM(H1688:H1698)</f>
        <v>48500</v>
      </c>
      <c r="I1699" s="325">
        <f t="shared" si="134"/>
        <v>-39752</v>
      </c>
      <c r="J1699" s="325">
        <f t="shared" si="134"/>
        <v>0</v>
      </c>
      <c r="K1699" s="325">
        <f t="shared" si="134"/>
        <v>0</v>
      </c>
      <c r="L1699" s="325">
        <f t="shared" si="134"/>
        <v>0</v>
      </c>
      <c r="M1699" s="325">
        <f t="shared" si="134"/>
        <v>0</v>
      </c>
      <c r="N1699" s="325">
        <f t="shared" si="134"/>
        <v>0</v>
      </c>
      <c r="O1699" s="20"/>
    </row>
    <row r="1700" spans="1:15" ht="15" customHeight="1">
      <c r="G1700" s="26"/>
      <c r="H1700" s="26"/>
      <c r="I1700" s="26"/>
      <c r="J1700" s="26"/>
      <c r="K1700" s="26"/>
      <c r="L1700" s="26"/>
      <c r="M1700" s="26"/>
      <c r="N1700" s="26"/>
    </row>
    <row r="1701" spans="1:15" s="43" customFormat="1" ht="15" customHeight="1" thickBot="1">
      <c r="A1701" s="2"/>
      <c r="B1701" s="2" t="s">
        <v>2317</v>
      </c>
      <c r="C1701" s="3"/>
      <c r="D1701" s="68" t="s">
        <v>2867</v>
      </c>
      <c r="E1701" s="326"/>
      <c r="F1701" s="327"/>
      <c r="G1701" s="328">
        <f t="shared" ref="G1701:N1701" si="135">+G1699+G1686+G1672+G1653+G1630</f>
        <v>53117</v>
      </c>
      <c r="H1701" s="328">
        <f t="shared" si="135"/>
        <v>95785</v>
      </c>
      <c r="I1701" s="328">
        <f t="shared" si="135"/>
        <v>7403</v>
      </c>
      <c r="J1701" s="328">
        <f t="shared" si="135"/>
        <v>56630</v>
      </c>
      <c r="K1701" s="328">
        <f t="shared" si="135"/>
        <v>60749</v>
      </c>
      <c r="L1701" s="328">
        <f t="shared" si="135"/>
        <v>31400</v>
      </c>
      <c r="M1701" s="328">
        <f t="shared" si="135"/>
        <v>55927.169999999991</v>
      </c>
      <c r="N1701" s="328">
        <f t="shared" si="135"/>
        <v>63448</v>
      </c>
      <c r="O1701" s="44"/>
    </row>
    <row r="1702" spans="1:15" s="45" customFormat="1" ht="15" customHeight="1" thickTop="1">
      <c r="A1702" s="2"/>
      <c r="B1702" s="2"/>
      <c r="C1702" s="3"/>
      <c r="D1702" s="47"/>
      <c r="E1702" s="15"/>
      <c r="F1702" s="105"/>
      <c r="G1702" s="26"/>
      <c r="H1702" s="26"/>
      <c r="I1702" s="26"/>
      <c r="J1702" s="26"/>
      <c r="K1702" s="26"/>
      <c r="L1702" s="26"/>
      <c r="M1702" s="26"/>
      <c r="N1702" s="26"/>
      <c r="O1702" s="42"/>
    </row>
    <row r="1703" spans="1:15" s="45" customFormat="1" ht="15" customHeight="1">
      <c r="A1703" s="2"/>
      <c r="B1703" s="2"/>
      <c r="C1703" s="3"/>
      <c r="D1703" s="47" t="s">
        <v>17</v>
      </c>
      <c r="E1703" s="15"/>
      <c r="F1703" s="105"/>
      <c r="G1703" s="26"/>
      <c r="H1703" s="26"/>
      <c r="I1703" s="26"/>
      <c r="J1703" s="26"/>
      <c r="K1703" s="26"/>
      <c r="L1703" s="26"/>
      <c r="M1703" s="26"/>
      <c r="N1703" s="26"/>
      <c r="O1703" s="42"/>
    </row>
    <row r="1704" spans="1:15" s="45" customFormat="1" ht="15" customHeight="1">
      <c r="A1704" s="2"/>
      <c r="B1704" s="2"/>
      <c r="C1704" s="3"/>
      <c r="D1704" s="47"/>
      <c r="E1704" s="15"/>
      <c r="F1704" s="105"/>
      <c r="G1704" s="26"/>
      <c r="H1704" s="26"/>
      <c r="I1704" s="26"/>
      <c r="J1704" s="26"/>
      <c r="K1704" s="26"/>
      <c r="L1704" s="26"/>
      <c r="M1704" s="26"/>
      <c r="N1704" s="26"/>
      <c r="O1704" s="42"/>
    </row>
    <row r="1705" spans="1:15" s="5" customFormat="1" ht="15" customHeight="1">
      <c r="A1705" s="2"/>
      <c r="B1705" s="2"/>
      <c r="C1705" s="3"/>
      <c r="D1705" s="47" t="s">
        <v>2172</v>
      </c>
      <c r="E1705" s="15"/>
      <c r="F1705" s="105"/>
      <c r="G1705" s="26"/>
      <c r="H1705" s="26"/>
      <c r="I1705" s="26"/>
      <c r="J1705" s="26"/>
      <c r="K1705" s="26"/>
      <c r="L1705" s="26"/>
      <c r="M1705" s="26"/>
      <c r="N1705" s="26"/>
      <c r="O1705" s="6"/>
    </row>
    <row r="1706" spans="1:15" ht="15" customHeight="1">
      <c r="G1706" s="26"/>
      <c r="H1706" s="26"/>
      <c r="I1706" s="26"/>
      <c r="J1706" s="26"/>
      <c r="K1706" s="26"/>
      <c r="L1706" s="26"/>
      <c r="M1706" s="26"/>
      <c r="N1706" s="26"/>
    </row>
    <row r="1707" spans="1:15" ht="15" customHeight="1">
      <c r="C1707" s="3">
        <v>10</v>
      </c>
      <c r="D1707" s="15" t="s">
        <v>1246</v>
      </c>
      <c r="E1707" s="312" t="s">
        <v>1247</v>
      </c>
      <c r="G1707" s="26">
        <v>0</v>
      </c>
      <c r="H1707" s="26">
        <v>0</v>
      </c>
      <c r="I1707" s="26">
        <v>0</v>
      </c>
      <c r="J1707" s="26">
        <v>0</v>
      </c>
      <c r="K1707" s="26">
        <v>0</v>
      </c>
      <c r="L1707" s="26">
        <v>0</v>
      </c>
      <c r="M1707" s="26">
        <v>0</v>
      </c>
      <c r="N1707" s="26">
        <v>0</v>
      </c>
    </row>
    <row r="1708" spans="1:15" ht="15" customHeight="1">
      <c r="C1708" s="3">
        <v>10</v>
      </c>
      <c r="D1708" s="15" t="s">
        <v>1248</v>
      </c>
      <c r="E1708" s="312" t="s">
        <v>1249</v>
      </c>
      <c r="G1708" s="26">
        <v>0</v>
      </c>
      <c r="H1708" s="26">
        <v>0</v>
      </c>
      <c r="I1708" s="26">
        <v>54671</v>
      </c>
      <c r="J1708" s="26">
        <v>-6328</v>
      </c>
      <c r="K1708" s="26">
        <v>0</v>
      </c>
      <c r="L1708" s="26">
        <v>0</v>
      </c>
      <c r="M1708" s="26">
        <v>0</v>
      </c>
      <c r="N1708" s="26">
        <v>0</v>
      </c>
    </row>
    <row r="1709" spans="1:15" ht="15" customHeight="1">
      <c r="G1709" s="26"/>
      <c r="H1709" s="26"/>
      <c r="I1709" s="26"/>
      <c r="J1709" s="26"/>
      <c r="K1709" s="26"/>
      <c r="L1709" s="26"/>
      <c r="M1709" s="26"/>
      <c r="N1709" s="26"/>
    </row>
    <row r="1710" spans="1:15" s="72" customFormat="1" ht="15" customHeight="1">
      <c r="A1710" s="5" t="s">
        <v>2410</v>
      </c>
      <c r="B1710" s="5" t="s">
        <v>2317</v>
      </c>
      <c r="C1710" s="3"/>
      <c r="D1710" s="323" t="s">
        <v>2173</v>
      </c>
      <c r="E1710" s="323"/>
      <c r="F1710" s="324"/>
      <c r="G1710" s="325">
        <f>SUM(G1705:G1709)</f>
        <v>0</v>
      </c>
      <c r="H1710" s="325">
        <f t="shared" ref="H1710:N1710" si="136">SUM(H1705:H1709)</f>
        <v>0</v>
      </c>
      <c r="I1710" s="325">
        <f t="shared" si="136"/>
        <v>54671</v>
      </c>
      <c r="J1710" s="325">
        <f t="shared" si="136"/>
        <v>-6328</v>
      </c>
      <c r="K1710" s="325">
        <f t="shared" si="136"/>
        <v>0</v>
      </c>
      <c r="L1710" s="325">
        <f t="shared" si="136"/>
        <v>0</v>
      </c>
      <c r="M1710" s="325">
        <f t="shared" si="136"/>
        <v>0</v>
      </c>
      <c r="N1710" s="325">
        <f t="shared" si="136"/>
        <v>0</v>
      </c>
      <c r="O1710" s="71"/>
    </row>
    <row r="1711" spans="1:15" s="46" customFormat="1" ht="15" customHeight="1">
      <c r="A1711" s="2"/>
      <c r="B1711" s="2"/>
      <c r="C1711" s="3"/>
      <c r="D1711" s="47"/>
      <c r="E1711" s="47"/>
      <c r="F1711" s="191"/>
      <c r="G1711" s="48"/>
      <c r="H1711" s="48"/>
      <c r="I1711" s="48"/>
      <c r="J1711" s="48"/>
      <c r="K1711" s="48"/>
      <c r="L1711" s="48"/>
      <c r="M1711" s="48"/>
      <c r="N1711" s="48"/>
      <c r="O1711" s="47"/>
    </row>
    <row r="1712" spans="1:15" ht="15" customHeight="1">
      <c r="D1712" s="47" t="s">
        <v>2174</v>
      </c>
      <c r="G1712" s="26"/>
      <c r="H1712" s="26"/>
      <c r="I1712" s="26"/>
      <c r="J1712" s="26"/>
      <c r="K1712" s="26"/>
      <c r="L1712" s="26"/>
      <c r="M1712" s="26"/>
      <c r="N1712" s="26"/>
    </row>
    <row r="1713" spans="1:15" ht="15" customHeight="1">
      <c r="G1713" s="26"/>
      <c r="H1713" s="26"/>
      <c r="I1713" s="26"/>
      <c r="J1713" s="26"/>
      <c r="K1713" s="26"/>
      <c r="L1713" s="26"/>
      <c r="M1713" s="26"/>
      <c r="N1713" s="26"/>
    </row>
    <row r="1714" spans="1:15" ht="15" customHeight="1">
      <c r="C1714" s="3">
        <v>10</v>
      </c>
      <c r="D1714" s="15" t="s">
        <v>1250</v>
      </c>
      <c r="E1714" s="312" t="s">
        <v>106</v>
      </c>
      <c r="G1714" s="26">
        <v>0</v>
      </c>
      <c r="H1714" s="26">
        <v>0</v>
      </c>
      <c r="I1714" s="26">
        <v>0</v>
      </c>
      <c r="J1714" s="26">
        <v>0</v>
      </c>
      <c r="K1714" s="26">
        <v>0</v>
      </c>
      <c r="L1714" s="26">
        <v>0</v>
      </c>
      <c r="M1714" s="26">
        <v>0</v>
      </c>
      <c r="N1714" s="26">
        <v>0</v>
      </c>
    </row>
    <row r="1715" spans="1:15" ht="15" customHeight="1">
      <c r="G1715" s="26"/>
      <c r="H1715" s="26"/>
      <c r="I1715" s="26"/>
      <c r="J1715" s="26"/>
      <c r="K1715" s="26"/>
      <c r="L1715" s="26"/>
      <c r="M1715" s="26"/>
      <c r="N1715" s="26"/>
    </row>
    <row r="1716" spans="1:15" s="200" customFormat="1" ht="15" customHeight="1">
      <c r="A1716" s="196" t="s">
        <v>104</v>
      </c>
      <c r="B1716" s="196" t="s">
        <v>2317</v>
      </c>
      <c r="C1716" s="75"/>
      <c r="D1716" s="323" t="s">
        <v>2175</v>
      </c>
      <c r="E1716" s="323"/>
      <c r="F1716" s="324"/>
      <c r="G1716" s="325">
        <f>SUM(G1712:G1715)</f>
        <v>0</v>
      </c>
      <c r="H1716" s="325">
        <f t="shared" ref="H1716:N1716" si="137">SUM(H1712:H1715)</f>
        <v>0</v>
      </c>
      <c r="I1716" s="325">
        <f t="shared" si="137"/>
        <v>0</v>
      </c>
      <c r="J1716" s="325">
        <f t="shared" si="137"/>
        <v>0</v>
      </c>
      <c r="K1716" s="325">
        <f t="shared" si="137"/>
        <v>0</v>
      </c>
      <c r="L1716" s="325">
        <f t="shared" si="137"/>
        <v>0</v>
      </c>
      <c r="M1716" s="325">
        <f t="shared" si="137"/>
        <v>0</v>
      </c>
      <c r="N1716" s="325">
        <f t="shared" si="137"/>
        <v>0</v>
      </c>
      <c r="O1716" s="198"/>
    </row>
    <row r="1717" spans="1:15" s="46" customFormat="1" ht="15" customHeight="1">
      <c r="A1717" s="2"/>
      <c r="B1717" s="2"/>
      <c r="C1717" s="3"/>
      <c r="D1717" s="47"/>
      <c r="E1717" s="47"/>
      <c r="F1717" s="191"/>
      <c r="G1717" s="48"/>
      <c r="H1717" s="48"/>
      <c r="I1717" s="48"/>
      <c r="J1717" s="48"/>
      <c r="K1717" s="48"/>
      <c r="L1717" s="48"/>
      <c r="M1717" s="48"/>
      <c r="N1717" s="48"/>
      <c r="O1717" s="47"/>
    </row>
    <row r="1718" spans="1:15" ht="15" customHeight="1">
      <c r="D1718" s="47" t="s">
        <v>2176</v>
      </c>
      <c r="G1718" s="26"/>
      <c r="H1718" s="26"/>
      <c r="I1718" s="26"/>
      <c r="J1718" s="26"/>
      <c r="K1718" s="26"/>
      <c r="L1718" s="26"/>
      <c r="M1718" s="26"/>
      <c r="N1718" s="26"/>
    </row>
    <row r="1719" spans="1:15" ht="15" customHeight="1">
      <c r="G1719" s="26"/>
      <c r="H1719" s="26"/>
      <c r="I1719" s="26"/>
      <c r="J1719" s="26"/>
      <c r="K1719" s="26"/>
      <c r="L1719" s="26"/>
      <c r="M1719" s="26"/>
      <c r="N1719" s="26"/>
    </row>
    <row r="1720" spans="1:15" ht="15" customHeight="1">
      <c r="C1720" s="3">
        <v>10</v>
      </c>
      <c r="D1720" s="15" t="s">
        <v>1251</v>
      </c>
      <c r="E1720" s="312" t="s">
        <v>139</v>
      </c>
      <c r="G1720" s="26">
        <v>0</v>
      </c>
      <c r="H1720" s="26">
        <v>5390</v>
      </c>
      <c r="I1720" s="26">
        <v>8856</v>
      </c>
      <c r="J1720" s="26">
        <v>13226</v>
      </c>
      <c r="K1720" s="26">
        <v>5000</v>
      </c>
      <c r="L1720" s="26">
        <v>8072</v>
      </c>
      <c r="M1720" s="26">
        <v>9000</v>
      </c>
      <c r="N1720" s="26">
        <v>7500</v>
      </c>
      <c r="O1720" s="294" t="s">
        <v>2944</v>
      </c>
    </row>
    <row r="1721" spans="1:15" ht="15" customHeight="1">
      <c r="C1721" s="3">
        <v>10</v>
      </c>
      <c r="D1721" s="15" t="s">
        <v>1252</v>
      </c>
      <c r="E1721" s="312" t="s">
        <v>145</v>
      </c>
      <c r="G1721" s="26">
        <v>201021</v>
      </c>
      <c r="H1721" s="26">
        <v>192623</v>
      </c>
      <c r="I1721" s="26">
        <v>163284</v>
      </c>
      <c r="J1721" s="26">
        <v>171345</v>
      </c>
      <c r="K1721" s="26">
        <v>160000</v>
      </c>
      <c r="L1721" s="26">
        <v>84818</v>
      </c>
      <c r="M1721" s="26">
        <v>154000</v>
      </c>
      <c r="N1721" s="26">
        <v>155000</v>
      </c>
    </row>
    <row r="1722" spans="1:15" ht="15" customHeight="1">
      <c r="C1722" s="3">
        <v>10</v>
      </c>
      <c r="D1722" s="15" t="s">
        <v>1253</v>
      </c>
      <c r="E1722" s="312" t="s">
        <v>1254</v>
      </c>
      <c r="G1722" s="26">
        <v>1016</v>
      </c>
      <c r="H1722" s="26">
        <v>1828</v>
      </c>
      <c r="I1722" s="26">
        <v>0</v>
      </c>
      <c r="J1722" s="26">
        <v>0</v>
      </c>
      <c r="K1722" s="26">
        <v>0</v>
      </c>
      <c r="L1722" s="26">
        <v>0</v>
      </c>
      <c r="M1722" s="26">
        <v>0</v>
      </c>
      <c r="N1722" s="26">
        <v>0</v>
      </c>
    </row>
    <row r="1723" spans="1:15" ht="15" customHeight="1">
      <c r="C1723" s="3">
        <v>10</v>
      </c>
      <c r="D1723" s="15" t="s">
        <v>1255</v>
      </c>
      <c r="E1723" s="312" t="s">
        <v>1256</v>
      </c>
      <c r="G1723" s="26">
        <v>30709</v>
      </c>
      <c r="H1723" s="26">
        <v>37824</v>
      </c>
      <c r="I1723" s="26">
        <v>14675</v>
      </c>
      <c r="J1723" s="26">
        <v>35050</v>
      </c>
      <c r="K1723" s="26">
        <v>30000</v>
      </c>
      <c r="L1723" s="26">
        <v>25675</v>
      </c>
      <c r="M1723" s="26">
        <v>30000</v>
      </c>
      <c r="N1723" s="26">
        <v>30000</v>
      </c>
    </row>
    <row r="1724" spans="1:15" ht="15" customHeight="1">
      <c r="C1724" s="3">
        <v>10</v>
      </c>
      <c r="D1724" s="15" t="s">
        <v>1257</v>
      </c>
      <c r="E1724" s="312" t="s">
        <v>1258</v>
      </c>
      <c r="G1724" s="26">
        <v>49500</v>
      </c>
      <c r="H1724" s="26">
        <v>49500</v>
      </c>
      <c r="I1724" s="26">
        <v>52755</v>
      </c>
      <c r="J1724" s="26">
        <v>49500</v>
      </c>
      <c r="K1724" s="26">
        <v>49500</v>
      </c>
      <c r="L1724" s="26">
        <v>28875</v>
      </c>
      <c r="M1724" s="26">
        <v>49500</v>
      </c>
      <c r="N1724" s="26">
        <f>M1724+7384</f>
        <v>56884</v>
      </c>
      <c r="O1724" s="275" t="s">
        <v>2943</v>
      </c>
    </row>
    <row r="1725" spans="1:15" ht="15" customHeight="1">
      <c r="C1725" s="3">
        <v>10</v>
      </c>
      <c r="D1725" s="15" t="s">
        <v>1259</v>
      </c>
      <c r="E1725" s="312" t="s">
        <v>1260</v>
      </c>
      <c r="G1725" s="26">
        <v>30000</v>
      </c>
      <c r="H1725" s="26">
        <v>30000</v>
      </c>
      <c r="I1725" s="26">
        <v>30000</v>
      </c>
      <c r="J1725" s="26">
        <v>30000</v>
      </c>
      <c r="K1725" s="26">
        <v>30000</v>
      </c>
      <c r="L1725" s="26">
        <v>17500</v>
      </c>
      <c r="M1725" s="26">
        <v>30000</v>
      </c>
      <c r="N1725" s="26">
        <v>30000</v>
      </c>
    </row>
    <row r="1726" spans="1:15" ht="15" customHeight="1">
      <c r="C1726" s="3">
        <v>10</v>
      </c>
      <c r="D1726" s="15" t="s">
        <v>1261</v>
      </c>
      <c r="E1726" s="312" t="s">
        <v>1262</v>
      </c>
      <c r="G1726" s="26">
        <v>600</v>
      </c>
      <c r="H1726" s="26">
        <v>600</v>
      </c>
      <c r="I1726" s="26">
        <v>600</v>
      </c>
      <c r="J1726" s="26">
        <v>375</v>
      </c>
      <c r="K1726" s="26">
        <v>600</v>
      </c>
      <c r="L1726" s="26">
        <v>225</v>
      </c>
      <c r="M1726" s="26">
        <v>600</v>
      </c>
      <c r="N1726" s="26">
        <v>600</v>
      </c>
    </row>
    <row r="1727" spans="1:15" ht="15" customHeight="1">
      <c r="C1727" s="3">
        <v>10</v>
      </c>
      <c r="D1727" s="15" t="s">
        <v>1263</v>
      </c>
      <c r="E1727" s="312" t="s">
        <v>1264</v>
      </c>
      <c r="G1727" s="26">
        <v>2500</v>
      </c>
      <c r="H1727" s="26">
        <v>14842</v>
      </c>
      <c r="I1727" s="26">
        <v>15665</v>
      </c>
      <c r="J1727" s="26">
        <v>15791</v>
      </c>
      <c r="K1727" s="26">
        <v>15000</v>
      </c>
      <c r="L1727" s="26">
        <v>7500</v>
      </c>
      <c r="M1727" s="26">
        <v>16000</v>
      </c>
      <c r="N1727" s="26">
        <v>17000</v>
      </c>
    </row>
    <row r="1728" spans="1:15" ht="15" customHeight="1">
      <c r="C1728" s="3">
        <v>10</v>
      </c>
      <c r="D1728" s="15" t="s">
        <v>1265</v>
      </c>
      <c r="E1728" s="312" t="s">
        <v>1266</v>
      </c>
      <c r="G1728" s="26">
        <v>3375</v>
      </c>
      <c r="H1728" s="26">
        <v>2700</v>
      </c>
      <c r="I1728" s="26">
        <v>2700</v>
      </c>
      <c r="J1728" s="26">
        <v>2700</v>
      </c>
      <c r="K1728" s="26">
        <v>2700</v>
      </c>
      <c r="L1728" s="26">
        <v>2025</v>
      </c>
      <c r="M1728" s="26">
        <v>2700</v>
      </c>
      <c r="N1728" s="26">
        <v>2700</v>
      </c>
    </row>
    <row r="1729" spans="1:15" ht="15" customHeight="1">
      <c r="C1729" s="3">
        <v>10</v>
      </c>
      <c r="D1729" s="15" t="s">
        <v>1267</v>
      </c>
      <c r="E1729" s="312" t="s">
        <v>1268</v>
      </c>
      <c r="G1729" s="26">
        <v>8000</v>
      </c>
      <c r="H1729" s="26">
        <v>8000</v>
      </c>
      <c r="I1729" s="26">
        <v>8000</v>
      </c>
      <c r="J1729" s="26">
        <v>14778</v>
      </c>
      <c r="K1729" s="26">
        <v>8000</v>
      </c>
      <c r="L1729" s="26">
        <v>11180</v>
      </c>
      <c r="M1729" s="26">
        <v>12393</v>
      </c>
      <c r="N1729" s="26">
        <v>8000</v>
      </c>
    </row>
    <row r="1730" spans="1:15" ht="15" customHeight="1">
      <c r="C1730" s="3">
        <v>10</v>
      </c>
      <c r="D1730" s="15" t="s">
        <v>1269</v>
      </c>
      <c r="E1730" s="312" t="s">
        <v>1270</v>
      </c>
      <c r="G1730" s="26">
        <v>30000</v>
      </c>
      <c r="H1730" s="26">
        <v>35000</v>
      </c>
      <c r="I1730" s="26">
        <v>35000</v>
      </c>
      <c r="J1730" s="26">
        <v>35000</v>
      </c>
      <c r="K1730" s="26">
        <v>35000</v>
      </c>
      <c r="L1730" s="26">
        <v>26250</v>
      </c>
      <c r="M1730" s="26">
        <v>35000</v>
      </c>
      <c r="N1730" s="26">
        <v>35000</v>
      </c>
    </row>
    <row r="1731" spans="1:15" ht="15" customHeight="1">
      <c r="C1731" s="3">
        <v>10</v>
      </c>
      <c r="D1731" s="15" t="s">
        <v>1271</v>
      </c>
      <c r="E1731" s="312" t="s">
        <v>1272</v>
      </c>
      <c r="G1731" s="26">
        <v>1275</v>
      </c>
      <c r="H1731" s="26">
        <v>450</v>
      </c>
      <c r="I1731" s="26">
        <v>600</v>
      </c>
      <c r="J1731" s="26">
        <v>600</v>
      </c>
      <c r="K1731" s="26">
        <v>600</v>
      </c>
      <c r="L1731" s="26">
        <v>450</v>
      </c>
      <c r="M1731" s="26">
        <v>600</v>
      </c>
      <c r="N1731" s="26">
        <v>600</v>
      </c>
    </row>
    <row r="1732" spans="1:15" ht="15" customHeight="1">
      <c r="C1732" s="3">
        <v>10</v>
      </c>
      <c r="D1732" s="15" t="s">
        <v>1273</v>
      </c>
      <c r="E1732" s="312" t="s">
        <v>1274</v>
      </c>
      <c r="G1732" s="26">
        <v>0</v>
      </c>
      <c r="H1732" s="26">
        <v>0</v>
      </c>
      <c r="I1732" s="26">
        <v>0</v>
      </c>
      <c r="J1732" s="26">
        <v>0</v>
      </c>
      <c r="K1732" s="26">
        <v>0</v>
      </c>
      <c r="L1732" s="26">
        <v>0</v>
      </c>
      <c r="M1732" s="26">
        <v>0</v>
      </c>
      <c r="N1732" s="26">
        <v>0</v>
      </c>
    </row>
    <row r="1733" spans="1:15" ht="15" customHeight="1">
      <c r="C1733" s="3">
        <v>10</v>
      </c>
      <c r="D1733" s="15" t="s">
        <v>1275</v>
      </c>
      <c r="E1733" s="312" t="s">
        <v>1276</v>
      </c>
      <c r="G1733" s="26">
        <v>5000</v>
      </c>
      <c r="H1733" s="26">
        <v>5000</v>
      </c>
      <c r="I1733" s="26">
        <v>5500</v>
      </c>
      <c r="J1733" s="26">
        <v>1650</v>
      </c>
      <c r="K1733" s="26">
        <v>5500</v>
      </c>
      <c r="L1733" s="26">
        <v>0</v>
      </c>
      <c r="M1733" s="26">
        <v>0</v>
      </c>
      <c r="N1733" s="26">
        <v>5500</v>
      </c>
    </row>
    <row r="1734" spans="1:15" ht="15" customHeight="1">
      <c r="C1734" s="3">
        <v>10</v>
      </c>
      <c r="D1734" s="15" t="s">
        <v>1277</v>
      </c>
      <c r="E1734" s="312" t="s">
        <v>1278</v>
      </c>
      <c r="G1734" s="26">
        <v>12000</v>
      </c>
      <c r="H1734" s="26">
        <v>17000</v>
      </c>
      <c r="I1734" s="26">
        <v>12176</v>
      </c>
      <c r="J1734" s="26">
        <v>16578</v>
      </c>
      <c r="K1734" s="26">
        <v>12000</v>
      </c>
      <c r="L1734" s="26">
        <v>10245</v>
      </c>
      <c r="M1734" s="26">
        <v>12000</v>
      </c>
      <c r="N1734" s="26">
        <v>12000</v>
      </c>
    </row>
    <row r="1735" spans="1:15" ht="15" customHeight="1">
      <c r="C1735" s="3">
        <v>10</v>
      </c>
      <c r="D1735" s="15" t="s">
        <v>1279</v>
      </c>
      <c r="E1735" s="312" t="s">
        <v>1280</v>
      </c>
      <c r="G1735" s="26">
        <v>0</v>
      </c>
      <c r="H1735" s="26">
        <v>0</v>
      </c>
      <c r="I1735" s="26">
        <v>0</v>
      </c>
      <c r="J1735" s="26">
        <v>32845</v>
      </c>
      <c r="K1735" s="26">
        <v>27864</v>
      </c>
      <c r="L1735" s="26">
        <v>13812</v>
      </c>
      <c r="M1735" s="26">
        <v>27864</v>
      </c>
      <c r="N1735" s="26">
        <v>28062</v>
      </c>
      <c r="O1735" s="275" t="s">
        <v>3072</v>
      </c>
    </row>
    <row r="1736" spans="1:15" ht="15" customHeight="1">
      <c r="C1736" s="3">
        <v>10</v>
      </c>
      <c r="D1736" s="15" t="s">
        <v>1281</v>
      </c>
      <c r="E1736" s="312" t="s">
        <v>1282</v>
      </c>
      <c r="G1736" s="26">
        <v>0</v>
      </c>
      <c r="H1736" s="26">
        <v>0</v>
      </c>
      <c r="I1736" s="26">
        <v>0</v>
      </c>
      <c r="J1736" s="26">
        <v>4500</v>
      </c>
      <c r="K1736" s="26">
        <v>4500</v>
      </c>
      <c r="L1736" s="26">
        <v>4500</v>
      </c>
      <c r="M1736" s="26">
        <v>4500</v>
      </c>
      <c r="N1736" s="26">
        <v>4500</v>
      </c>
    </row>
    <row r="1737" spans="1:15" ht="15" customHeight="1">
      <c r="C1737" s="3">
        <v>10</v>
      </c>
      <c r="D1737" s="15" t="s">
        <v>1283</v>
      </c>
      <c r="E1737" s="312" t="s">
        <v>162</v>
      </c>
      <c r="G1737" s="26">
        <v>0</v>
      </c>
      <c r="H1737" s="26">
        <v>0</v>
      </c>
      <c r="I1737" s="26">
        <v>54</v>
      </c>
      <c r="J1737" s="26">
        <v>0</v>
      </c>
      <c r="K1737" s="26">
        <v>0</v>
      </c>
      <c r="L1737" s="26">
        <v>0</v>
      </c>
      <c r="M1737" s="26">
        <v>0</v>
      </c>
      <c r="N1737" s="26">
        <v>0</v>
      </c>
    </row>
    <row r="1738" spans="1:15" ht="15" customHeight="1">
      <c r="C1738" s="3">
        <v>10</v>
      </c>
      <c r="D1738" s="15" t="s">
        <v>1284</v>
      </c>
      <c r="E1738" s="312" t="s">
        <v>1285</v>
      </c>
      <c r="G1738" s="26">
        <v>0</v>
      </c>
      <c r="H1738" s="26">
        <v>19750</v>
      </c>
      <c r="I1738" s="26">
        <v>0</v>
      </c>
      <c r="J1738" s="26">
        <v>5000</v>
      </c>
      <c r="K1738" s="26">
        <v>0</v>
      </c>
      <c r="L1738" s="26">
        <v>0</v>
      </c>
      <c r="M1738" s="26">
        <v>0</v>
      </c>
      <c r="N1738" s="26">
        <v>0</v>
      </c>
    </row>
    <row r="1739" spans="1:15" ht="15" customHeight="1">
      <c r="G1739" s="26"/>
      <c r="H1739" s="26"/>
      <c r="I1739" s="26"/>
      <c r="J1739" s="26"/>
      <c r="K1739" s="26"/>
      <c r="L1739" s="26"/>
      <c r="M1739" s="26"/>
      <c r="N1739" s="26"/>
    </row>
    <row r="1740" spans="1:15" s="22" customFormat="1" ht="15" customHeight="1">
      <c r="A1740" s="2" t="s">
        <v>135</v>
      </c>
      <c r="B1740" s="2" t="s">
        <v>2317</v>
      </c>
      <c r="C1740" s="3"/>
      <c r="D1740" s="323" t="s">
        <v>2177</v>
      </c>
      <c r="E1740" s="323"/>
      <c r="F1740" s="324"/>
      <c r="G1740" s="325">
        <f>SUM(G1718:G1739)</f>
        <v>374996</v>
      </c>
      <c r="H1740" s="325">
        <f t="shared" ref="H1740:N1740" si="138">SUM(H1718:H1739)</f>
        <v>420507</v>
      </c>
      <c r="I1740" s="325">
        <f t="shared" si="138"/>
        <v>349865</v>
      </c>
      <c r="J1740" s="325">
        <f t="shared" si="138"/>
        <v>428938</v>
      </c>
      <c r="K1740" s="325">
        <f t="shared" si="138"/>
        <v>386264</v>
      </c>
      <c r="L1740" s="325">
        <f t="shared" si="138"/>
        <v>241127</v>
      </c>
      <c r="M1740" s="325">
        <f t="shared" si="138"/>
        <v>384157</v>
      </c>
      <c r="N1740" s="325">
        <f t="shared" si="138"/>
        <v>393346</v>
      </c>
      <c r="O1740" s="18"/>
    </row>
    <row r="1741" spans="1:15" s="46" customFormat="1" ht="15" customHeight="1">
      <c r="A1741" s="2"/>
      <c r="B1741" s="2"/>
      <c r="C1741" s="3"/>
      <c r="D1741" s="47"/>
      <c r="E1741" s="47"/>
      <c r="F1741" s="191"/>
      <c r="G1741" s="48"/>
      <c r="H1741" s="48"/>
      <c r="I1741" s="48"/>
      <c r="J1741" s="48"/>
      <c r="K1741" s="48"/>
      <c r="L1741" s="48"/>
      <c r="M1741" s="48"/>
      <c r="N1741" s="48"/>
      <c r="O1741" s="47"/>
    </row>
    <row r="1742" spans="1:15" ht="15" customHeight="1">
      <c r="D1742" s="47" t="s">
        <v>2178</v>
      </c>
      <c r="G1742" s="26"/>
      <c r="H1742" s="26"/>
      <c r="I1742" s="26"/>
      <c r="J1742" s="26"/>
      <c r="K1742" s="26"/>
      <c r="L1742" s="26"/>
      <c r="M1742" s="26"/>
      <c r="N1742" s="26"/>
    </row>
    <row r="1743" spans="1:15" ht="15" customHeight="1">
      <c r="G1743" s="26"/>
      <c r="H1743" s="26"/>
      <c r="I1743" s="26"/>
      <c r="J1743" s="26"/>
      <c r="K1743" s="26"/>
      <c r="L1743" s="26"/>
      <c r="M1743" s="26"/>
      <c r="N1743" s="26"/>
    </row>
    <row r="1744" spans="1:15" ht="15" customHeight="1">
      <c r="C1744" s="3">
        <v>10</v>
      </c>
      <c r="D1744" s="15" t="s">
        <v>1286</v>
      </c>
      <c r="E1744" s="312" t="s">
        <v>169</v>
      </c>
      <c r="G1744" s="26">
        <v>0</v>
      </c>
      <c r="H1744" s="26">
        <v>0</v>
      </c>
      <c r="I1744" s="26">
        <v>0</v>
      </c>
      <c r="J1744" s="26">
        <v>0</v>
      </c>
      <c r="K1744" s="26">
        <v>5000</v>
      </c>
      <c r="L1744" s="26">
        <v>0</v>
      </c>
      <c r="M1744" s="26">
        <v>0</v>
      </c>
      <c r="N1744" s="26">
        <v>0</v>
      </c>
      <c r="O1744" s="275" t="s">
        <v>2945</v>
      </c>
    </row>
    <row r="1745" spans="1:15" ht="15" customHeight="1">
      <c r="G1745" s="26"/>
      <c r="H1745" s="26"/>
      <c r="I1745" s="26"/>
      <c r="J1745" s="26"/>
      <c r="K1745" s="26"/>
      <c r="L1745" s="26"/>
      <c r="M1745" s="26"/>
      <c r="N1745" s="26"/>
    </row>
    <row r="1746" spans="1:15" s="23" customFormat="1" ht="15" customHeight="1">
      <c r="A1746" s="2" t="s">
        <v>163</v>
      </c>
      <c r="B1746" s="2" t="s">
        <v>2317</v>
      </c>
      <c r="C1746" s="3"/>
      <c r="D1746" s="323" t="s">
        <v>2179</v>
      </c>
      <c r="E1746" s="323"/>
      <c r="F1746" s="324"/>
      <c r="G1746" s="325">
        <f>SUM(G1742:G1745)</f>
        <v>0</v>
      </c>
      <c r="H1746" s="325">
        <f t="shared" ref="H1746:N1746" si="139">SUM(H1742:H1745)</f>
        <v>0</v>
      </c>
      <c r="I1746" s="325">
        <f t="shared" si="139"/>
        <v>0</v>
      </c>
      <c r="J1746" s="325">
        <f t="shared" si="139"/>
        <v>0</v>
      </c>
      <c r="K1746" s="325">
        <f t="shared" si="139"/>
        <v>5000</v>
      </c>
      <c r="L1746" s="325">
        <f t="shared" si="139"/>
        <v>0</v>
      </c>
      <c r="M1746" s="325">
        <f t="shared" si="139"/>
        <v>0</v>
      </c>
      <c r="N1746" s="325">
        <f t="shared" si="139"/>
        <v>0</v>
      </c>
      <c r="O1746" s="19"/>
    </row>
    <row r="1747" spans="1:15" ht="15" customHeight="1">
      <c r="G1747" s="26"/>
      <c r="H1747" s="26"/>
      <c r="I1747" s="26"/>
      <c r="J1747" s="26"/>
      <c r="K1747" s="26"/>
      <c r="L1747" s="26"/>
      <c r="M1747" s="26"/>
      <c r="N1747" s="26"/>
    </row>
    <row r="1748" spans="1:15" s="43" customFormat="1" ht="15" customHeight="1" thickBot="1">
      <c r="A1748" s="2"/>
      <c r="B1748" s="2" t="s">
        <v>2317</v>
      </c>
      <c r="C1748" s="3"/>
      <c r="D1748" s="68" t="s">
        <v>1995</v>
      </c>
      <c r="E1748" s="326"/>
      <c r="F1748" s="327"/>
      <c r="G1748" s="328">
        <f>+G1746+G1740+G1716+G1710</f>
        <v>374996</v>
      </c>
      <c r="H1748" s="328">
        <f t="shared" ref="H1748:N1748" si="140">+H1746+H1740+H1716+H1710</f>
        <v>420507</v>
      </c>
      <c r="I1748" s="328">
        <f t="shared" si="140"/>
        <v>404536</v>
      </c>
      <c r="J1748" s="328">
        <f t="shared" si="140"/>
        <v>422610</v>
      </c>
      <c r="K1748" s="328">
        <f t="shared" si="140"/>
        <v>391264</v>
      </c>
      <c r="L1748" s="328">
        <f t="shared" si="140"/>
        <v>241127</v>
      </c>
      <c r="M1748" s="328">
        <f t="shared" si="140"/>
        <v>384157</v>
      </c>
      <c r="N1748" s="328">
        <f t="shared" si="140"/>
        <v>393346</v>
      </c>
      <c r="O1748" s="44"/>
    </row>
    <row r="1749" spans="1:15" s="45" customFormat="1" ht="15" customHeight="1" thickTop="1">
      <c r="A1749" s="2"/>
      <c r="B1749" s="2"/>
      <c r="C1749" s="3"/>
      <c r="D1749" s="47"/>
      <c r="E1749" s="15"/>
      <c r="F1749" s="105"/>
      <c r="G1749" s="26"/>
      <c r="H1749" s="26"/>
      <c r="I1749" s="26"/>
      <c r="J1749" s="26"/>
      <c r="K1749" s="26"/>
      <c r="L1749" s="26"/>
      <c r="M1749" s="26"/>
      <c r="N1749" s="26"/>
      <c r="O1749" s="42"/>
    </row>
    <row r="1750" spans="1:15" s="45" customFormat="1" ht="15" customHeight="1">
      <c r="A1750" s="2"/>
      <c r="B1750" s="2"/>
      <c r="C1750" s="3"/>
      <c r="D1750" s="47" t="s">
        <v>18</v>
      </c>
      <c r="E1750" s="15"/>
      <c r="F1750" s="105"/>
      <c r="G1750" s="26"/>
      <c r="H1750" s="26"/>
      <c r="I1750" s="26"/>
      <c r="J1750" s="26"/>
      <c r="K1750" s="26"/>
      <c r="L1750" s="26"/>
      <c r="M1750" s="26"/>
      <c r="N1750" s="26"/>
      <c r="O1750" s="42"/>
    </row>
    <row r="1751" spans="1:15" s="45" customFormat="1" ht="15" customHeight="1">
      <c r="A1751" s="2"/>
      <c r="B1751" s="2"/>
      <c r="C1751" s="3"/>
      <c r="D1751" s="47"/>
      <c r="E1751" s="15"/>
      <c r="F1751" s="105"/>
      <c r="G1751" s="26"/>
      <c r="H1751" s="26"/>
      <c r="I1751" s="26"/>
      <c r="J1751" s="26"/>
      <c r="K1751" s="26"/>
      <c r="L1751" s="26"/>
      <c r="M1751" s="26"/>
      <c r="N1751" s="26"/>
      <c r="O1751" s="42"/>
    </row>
    <row r="1752" spans="1:15" s="5" customFormat="1" ht="15" customHeight="1">
      <c r="A1752" s="2"/>
      <c r="B1752" s="2"/>
      <c r="C1752" s="3"/>
      <c r="D1752" s="47" t="s">
        <v>2180</v>
      </c>
      <c r="E1752" s="15"/>
      <c r="F1752" s="105"/>
      <c r="G1752" s="26"/>
      <c r="H1752" s="26"/>
      <c r="I1752" s="26"/>
      <c r="J1752" s="26"/>
      <c r="K1752" s="26"/>
      <c r="L1752" s="26"/>
      <c r="M1752" s="26"/>
      <c r="N1752" s="26"/>
      <c r="O1752" s="6"/>
    </row>
    <row r="1753" spans="1:15" ht="15" customHeight="1">
      <c r="G1753" s="26"/>
      <c r="H1753" s="26"/>
      <c r="I1753" s="26"/>
      <c r="J1753" s="26"/>
      <c r="K1753" s="26"/>
      <c r="L1753" s="26"/>
      <c r="M1753" s="26"/>
      <c r="N1753" s="26"/>
    </row>
    <row r="1754" spans="1:15" ht="15" customHeight="1">
      <c r="C1754" s="3">
        <v>10</v>
      </c>
      <c r="D1754" s="15" t="s">
        <v>1287</v>
      </c>
      <c r="E1754" s="312" t="s">
        <v>79</v>
      </c>
      <c r="G1754" s="26">
        <v>0</v>
      </c>
      <c r="H1754" s="26">
        <v>0</v>
      </c>
      <c r="I1754" s="26">
        <v>0</v>
      </c>
      <c r="J1754" s="26">
        <v>28057</v>
      </c>
      <c r="K1754" s="26">
        <v>45000</v>
      </c>
      <c r="L1754" s="26">
        <v>26250</v>
      </c>
      <c r="M1754" s="26">
        <f>33750*1.33</f>
        <v>44887.5</v>
      </c>
      <c r="N1754" s="26">
        <v>45957</v>
      </c>
    </row>
    <row r="1755" spans="1:15" ht="15" customHeight="1">
      <c r="C1755" s="3">
        <v>10</v>
      </c>
      <c r="D1755" s="15" t="s">
        <v>1288</v>
      </c>
      <c r="E1755" s="312" t="s">
        <v>81</v>
      </c>
      <c r="G1755" s="26">
        <v>0</v>
      </c>
      <c r="H1755" s="26">
        <v>0</v>
      </c>
      <c r="I1755" s="26">
        <v>0</v>
      </c>
      <c r="J1755" s="26">
        <v>4439</v>
      </c>
      <c r="K1755" s="26">
        <v>6659</v>
      </c>
      <c r="L1755" s="26">
        <v>3884</v>
      </c>
      <c r="M1755" s="26">
        <v>6659</v>
      </c>
      <c r="N1755" s="26">
        <v>6659</v>
      </c>
    </row>
    <row r="1756" spans="1:15" ht="15" customHeight="1">
      <c r="C1756" s="3">
        <v>10</v>
      </c>
      <c r="D1756" s="15" t="s">
        <v>1289</v>
      </c>
      <c r="E1756" s="312" t="s">
        <v>85</v>
      </c>
      <c r="G1756" s="26">
        <v>0</v>
      </c>
      <c r="H1756" s="26">
        <v>0</v>
      </c>
      <c r="I1756" s="26">
        <v>0</v>
      </c>
      <c r="J1756" s="26">
        <v>72</v>
      </c>
      <c r="K1756" s="26">
        <v>69</v>
      </c>
      <c r="L1756" s="26">
        <v>261</v>
      </c>
      <c r="M1756" s="26">
        <f>69*1.33</f>
        <v>91.77000000000001</v>
      </c>
      <c r="N1756" s="26">
        <v>100</v>
      </c>
    </row>
    <row r="1757" spans="1:15" ht="15" customHeight="1">
      <c r="C1757" s="3">
        <v>10</v>
      </c>
      <c r="D1757" s="15" t="s">
        <v>1290</v>
      </c>
      <c r="E1757" s="312" t="s">
        <v>87</v>
      </c>
      <c r="G1757" s="26">
        <v>0</v>
      </c>
      <c r="H1757" s="26">
        <v>0</v>
      </c>
      <c r="I1757" s="26">
        <v>0</v>
      </c>
      <c r="J1757" s="26">
        <v>2018</v>
      </c>
      <c r="K1757" s="26">
        <v>2556</v>
      </c>
      <c r="L1757" s="26">
        <v>1901</v>
      </c>
      <c r="M1757" s="26">
        <f>2443*1.33</f>
        <v>3249.19</v>
      </c>
      <c r="N1757" s="26">
        <v>3525</v>
      </c>
    </row>
    <row r="1758" spans="1:15" ht="15" customHeight="1">
      <c r="C1758" s="3">
        <v>10</v>
      </c>
      <c r="D1758" s="15" t="s">
        <v>1291</v>
      </c>
      <c r="E1758" s="312" t="s">
        <v>89</v>
      </c>
      <c r="G1758" s="26">
        <v>0</v>
      </c>
      <c r="H1758" s="26">
        <v>0</v>
      </c>
      <c r="I1758" s="26">
        <v>0</v>
      </c>
      <c r="J1758" s="26">
        <v>4593</v>
      </c>
      <c r="K1758" s="26">
        <v>7227</v>
      </c>
      <c r="L1758" s="26">
        <v>4295</v>
      </c>
      <c r="M1758" s="26">
        <v>7227</v>
      </c>
      <c r="N1758" s="26">
        <v>8057</v>
      </c>
    </row>
    <row r="1759" spans="1:15" ht="15" customHeight="1">
      <c r="C1759" s="3">
        <v>10</v>
      </c>
      <c r="D1759" s="15" t="s">
        <v>2487</v>
      </c>
      <c r="E1759" s="312" t="s">
        <v>99</v>
      </c>
      <c r="G1759" s="26">
        <v>0</v>
      </c>
      <c r="H1759" s="26">
        <v>0</v>
      </c>
      <c r="I1759" s="26">
        <v>0</v>
      </c>
      <c r="J1759" s="26">
        <v>0</v>
      </c>
      <c r="K1759" s="26">
        <v>0</v>
      </c>
      <c r="L1759" s="26">
        <v>57</v>
      </c>
      <c r="M1759" s="26">
        <v>57</v>
      </c>
      <c r="N1759" s="26">
        <v>0</v>
      </c>
    </row>
    <row r="1760" spans="1:15" ht="15" customHeight="1">
      <c r="G1760" s="26"/>
      <c r="H1760" s="26"/>
      <c r="I1760" s="26"/>
      <c r="J1760" s="26"/>
      <c r="K1760" s="26"/>
      <c r="L1760" s="26"/>
      <c r="M1760" s="26"/>
      <c r="N1760" s="26"/>
    </row>
    <row r="1761" spans="1:15" s="72" customFormat="1" ht="15" customHeight="1">
      <c r="A1761" s="5" t="s">
        <v>2410</v>
      </c>
      <c r="B1761" s="5" t="s">
        <v>2317</v>
      </c>
      <c r="C1761" s="3"/>
      <c r="D1761" s="323" t="s">
        <v>2181</v>
      </c>
      <c r="E1761" s="323"/>
      <c r="F1761" s="324"/>
      <c r="G1761" s="325">
        <f>SUM(G1754:G1760)</f>
        <v>0</v>
      </c>
      <c r="H1761" s="325">
        <f t="shared" ref="H1761:N1761" si="141">SUM(H1754:H1760)</f>
        <v>0</v>
      </c>
      <c r="I1761" s="325">
        <f t="shared" si="141"/>
        <v>0</v>
      </c>
      <c r="J1761" s="325">
        <f t="shared" si="141"/>
        <v>39179</v>
      </c>
      <c r="K1761" s="325">
        <f t="shared" si="141"/>
        <v>61511</v>
      </c>
      <c r="L1761" s="325">
        <f t="shared" si="141"/>
        <v>36648</v>
      </c>
      <c r="M1761" s="325">
        <f t="shared" si="141"/>
        <v>62171.46</v>
      </c>
      <c r="N1761" s="325">
        <f t="shared" si="141"/>
        <v>64298</v>
      </c>
      <c r="O1761" s="71"/>
    </row>
    <row r="1762" spans="1:15" s="46" customFormat="1" ht="15" customHeight="1">
      <c r="A1762" s="2"/>
      <c r="B1762" s="2"/>
      <c r="C1762" s="3"/>
      <c r="D1762" s="47"/>
      <c r="E1762" s="47"/>
      <c r="F1762" s="191"/>
      <c r="G1762" s="48"/>
      <c r="H1762" s="48"/>
      <c r="I1762" s="48"/>
      <c r="J1762" s="48"/>
      <c r="K1762" s="48"/>
      <c r="L1762" s="48"/>
      <c r="M1762" s="48"/>
      <c r="N1762" s="48"/>
      <c r="O1762" s="47"/>
    </row>
    <row r="1763" spans="1:15" ht="15" customHeight="1">
      <c r="D1763" s="47" t="s">
        <v>2182</v>
      </c>
      <c r="G1763" s="26"/>
      <c r="H1763" s="26"/>
      <c r="I1763" s="26"/>
      <c r="J1763" s="26"/>
      <c r="K1763" s="26"/>
      <c r="L1763" s="26"/>
      <c r="M1763" s="26"/>
      <c r="N1763" s="26"/>
    </row>
    <row r="1764" spans="1:15" ht="15" customHeight="1">
      <c r="G1764" s="26"/>
      <c r="H1764" s="26"/>
      <c r="I1764" s="26"/>
      <c r="J1764" s="26"/>
      <c r="K1764" s="26"/>
      <c r="L1764" s="26"/>
      <c r="M1764" s="26"/>
      <c r="N1764" s="26"/>
    </row>
    <row r="1765" spans="1:15" ht="15" customHeight="1">
      <c r="C1765" s="3">
        <v>10</v>
      </c>
      <c r="D1765" s="15" t="s">
        <v>1292</v>
      </c>
      <c r="E1765" s="312" t="s">
        <v>115</v>
      </c>
      <c r="G1765" s="26">
        <v>0</v>
      </c>
      <c r="H1765" s="26">
        <v>0</v>
      </c>
      <c r="I1765" s="26">
        <v>0</v>
      </c>
      <c r="J1765" s="26">
        <v>1006</v>
      </c>
      <c r="K1765" s="26">
        <v>3000</v>
      </c>
      <c r="L1765" s="26">
        <v>841</v>
      </c>
      <c r="M1765" s="26">
        <v>2200</v>
      </c>
      <c r="N1765" s="26">
        <v>3000</v>
      </c>
      <c r="O1765" s="285"/>
    </row>
    <row r="1766" spans="1:15" ht="15" customHeight="1">
      <c r="C1766" s="3">
        <v>10</v>
      </c>
      <c r="D1766" s="15" t="s">
        <v>1293</v>
      </c>
      <c r="E1766" s="312" t="s">
        <v>117</v>
      </c>
      <c r="G1766" s="26">
        <v>0</v>
      </c>
      <c r="H1766" s="26">
        <v>0</v>
      </c>
      <c r="I1766" s="26">
        <v>0</v>
      </c>
      <c r="J1766" s="26">
        <v>84</v>
      </c>
      <c r="K1766" s="26">
        <v>0</v>
      </c>
      <c r="L1766" s="26">
        <v>0</v>
      </c>
      <c r="M1766" s="26">
        <v>0</v>
      </c>
      <c r="N1766" s="26">
        <v>0</v>
      </c>
      <c r="O1766" s="285"/>
    </row>
    <row r="1767" spans="1:15" ht="15" customHeight="1">
      <c r="C1767" s="3">
        <v>10</v>
      </c>
      <c r="D1767" s="15" t="s">
        <v>1294</v>
      </c>
      <c r="E1767" s="312" t="s">
        <v>119</v>
      </c>
      <c r="G1767" s="26">
        <v>0</v>
      </c>
      <c r="H1767" s="26">
        <v>0</v>
      </c>
      <c r="I1767" s="26">
        <v>0</v>
      </c>
      <c r="J1767" s="26">
        <v>0</v>
      </c>
      <c r="K1767" s="26">
        <v>575</v>
      </c>
      <c r="L1767" s="26">
        <v>46</v>
      </c>
      <c r="M1767" s="26">
        <v>250</v>
      </c>
      <c r="N1767" s="26">
        <v>250</v>
      </c>
      <c r="O1767" s="285"/>
    </row>
    <row r="1768" spans="1:15" ht="15" customHeight="1">
      <c r="C1768" s="3">
        <v>10</v>
      </c>
      <c r="D1768" s="15" t="s">
        <v>1295</v>
      </c>
      <c r="E1768" s="312" t="s">
        <v>121</v>
      </c>
      <c r="G1768" s="26">
        <v>0</v>
      </c>
      <c r="H1768" s="26">
        <v>0</v>
      </c>
      <c r="I1768" s="26">
        <v>0</v>
      </c>
      <c r="J1768" s="26">
        <v>55</v>
      </c>
      <c r="K1768" s="26">
        <v>0</v>
      </c>
      <c r="L1768" s="26">
        <v>0</v>
      </c>
      <c r="M1768" s="26">
        <v>100</v>
      </c>
      <c r="N1768" s="26">
        <v>55</v>
      </c>
      <c r="O1768" s="285"/>
    </row>
    <row r="1769" spans="1:15" ht="15" customHeight="1">
      <c r="C1769" s="3">
        <v>10</v>
      </c>
      <c r="D1769" s="15" t="s">
        <v>2488</v>
      </c>
      <c r="E1769" s="312" t="s">
        <v>123</v>
      </c>
      <c r="F1769" s="14"/>
      <c r="G1769" s="26">
        <v>0</v>
      </c>
      <c r="H1769" s="26">
        <v>0</v>
      </c>
      <c r="I1769" s="26">
        <v>0</v>
      </c>
      <c r="J1769" s="26">
        <v>177</v>
      </c>
      <c r="K1769" s="26">
        <v>0</v>
      </c>
      <c r="L1769" s="26">
        <v>78</v>
      </c>
      <c r="M1769" s="26">
        <v>178</v>
      </c>
      <c r="N1769" s="26">
        <v>100</v>
      </c>
      <c r="O1769" s="4"/>
    </row>
    <row r="1770" spans="1:15" ht="15" customHeight="1">
      <c r="C1770" s="3">
        <v>10</v>
      </c>
      <c r="D1770" s="15" t="s">
        <v>1296</v>
      </c>
      <c r="E1770" s="312" t="s">
        <v>125</v>
      </c>
      <c r="G1770" s="26">
        <v>0</v>
      </c>
      <c r="H1770" s="26">
        <v>0</v>
      </c>
      <c r="I1770" s="26">
        <v>0</v>
      </c>
      <c r="J1770" s="26">
        <v>196</v>
      </c>
      <c r="K1770" s="26">
        <v>0</v>
      </c>
      <c r="L1770" s="26">
        <v>0</v>
      </c>
      <c r="M1770" s="26">
        <v>0</v>
      </c>
      <c r="N1770" s="26">
        <v>0</v>
      </c>
      <c r="O1770" s="285"/>
    </row>
    <row r="1771" spans="1:15" ht="15" customHeight="1">
      <c r="C1771" s="3">
        <v>10</v>
      </c>
      <c r="D1771" s="15" t="s">
        <v>2489</v>
      </c>
      <c r="E1771" s="312" t="s">
        <v>106</v>
      </c>
      <c r="G1771" s="26">
        <v>0</v>
      </c>
      <c r="H1771" s="26">
        <v>0</v>
      </c>
      <c r="I1771" s="26">
        <v>0</v>
      </c>
      <c r="J1771" s="26">
        <v>0</v>
      </c>
      <c r="K1771" s="26">
        <v>0</v>
      </c>
      <c r="L1771" s="26">
        <v>101</v>
      </c>
      <c r="M1771" s="26">
        <v>100</v>
      </c>
      <c r="N1771" s="26">
        <v>300</v>
      </c>
      <c r="O1771" s="285"/>
    </row>
    <row r="1772" spans="1:15" ht="15" customHeight="1">
      <c r="C1772" s="3">
        <v>10</v>
      </c>
      <c r="D1772" s="15" t="s">
        <v>1297</v>
      </c>
      <c r="E1772" s="312" t="s">
        <v>132</v>
      </c>
      <c r="G1772" s="26">
        <v>0</v>
      </c>
      <c r="H1772" s="26">
        <v>0</v>
      </c>
      <c r="I1772" s="26">
        <v>0</v>
      </c>
      <c r="J1772" s="26">
        <v>514</v>
      </c>
      <c r="K1772" s="26">
        <v>0</v>
      </c>
      <c r="L1772" s="26">
        <v>101</v>
      </c>
      <c r="M1772" s="26">
        <v>300</v>
      </c>
      <c r="N1772" s="26">
        <v>100</v>
      </c>
      <c r="O1772" s="285"/>
    </row>
    <row r="1773" spans="1:15" ht="15" customHeight="1">
      <c r="G1773" s="26"/>
      <c r="H1773" s="26"/>
      <c r="I1773" s="26"/>
      <c r="J1773" s="26"/>
      <c r="K1773" s="26"/>
      <c r="L1773" s="26"/>
      <c r="M1773" s="26"/>
      <c r="N1773" s="26"/>
    </row>
    <row r="1774" spans="1:15" s="200" customFormat="1" ht="15" customHeight="1">
      <c r="A1774" s="196" t="s">
        <v>104</v>
      </c>
      <c r="B1774" s="196" t="s">
        <v>2317</v>
      </c>
      <c r="C1774" s="75"/>
      <c r="D1774" s="323" t="s">
        <v>2183</v>
      </c>
      <c r="E1774" s="323"/>
      <c r="F1774" s="324"/>
      <c r="G1774" s="325">
        <f t="shared" ref="G1774:N1774" si="142">SUM(G1763:G1773)</f>
        <v>0</v>
      </c>
      <c r="H1774" s="325">
        <f t="shared" si="142"/>
        <v>0</v>
      </c>
      <c r="I1774" s="325">
        <f t="shared" si="142"/>
        <v>0</v>
      </c>
      <c r="J1774" s="325">
        <f t="shared" si="142"/>
        <v>2032</v>
      </c>
      <c r="K1774" s="325">
        <f t="shared" si="142"/>
        <v>3575</v>
      </c>
      <c r="L1774" s="325">
        <f t="shared" si="142"/>
        <v>1167</v>
      </c>
      <c r="M1774" s="325">
        <f t="shared" si="142"/>
        <v>3128</v>
      </c>
      <c r="N1774" s="325">
        <f t="shared" si="142"/>
        <v>3805</v>
      </c>
      <c r="O1774" s="198"/>
    </row>
    <row r="1775" spans="1:15" s="46" customFormat="1" ht="15" customHeight="1">
      <c r="A1775" s="2"/>
      <c r="B1775" s="2"/>
      <c r="C1775" s="3"/>
      <c r="D1775" s="47"/>
      <c r="E1775" s="47"/>
      <c r="F1775" s="191"/>
      <c r="G1775" s="48"/>
      <c r="H1775" s="48"/>
      <c r="I1775" s="48"/>
      <c r="J1775" s="48"/>
      <c r="K1775" s="48"/>
      <c r="L1775" s="48"/>
      <c r="M1775" s="48"/>
      <c r="N1775" s="48"/>
      <c r="O1775" s="47"/>
    </row>
    <row r="1776" spans="1:15" ht="15" customHeight="1">
      <c r="D1776" s="47" t="s">
        <v>2184</v>
      </c>
      <c r="G1776" s="26"/>
      <c r="H1776" s="26"/>
      <c r="I1776" s="26"/>
      <c r="J1776" s="26"/>
      <c r="K1776" s="26"/>
      <c r="L1776" s="26"/>
      <c r="M1776" s="26"/>
      <c r="N1776" s="26"/>
    </row>
    <row r="1777" spans="1:15" ht="15" customHeight="1">
      <c r="G1777" s="26"/>
      <c r="H1777" s="26"/>
      <c r="I1777" s="26"/>
      <c r="J1777" s="26"/>
      <c r="K1777" s="26"/>
      <c r="L1777" s="26"/>
      <c r="M1777" s="26"/>
      <c r="N1777" s="26"/>
    </row>
    <row r="1778" spans="1:15" ht="15" customHeight="1">
      <c r="C1778" s="3">
        <v>10</v>
      </c>
      <c r="D1778" s="15" t="s">
        <v>1298</v>
      </c>
      <c r="E1778" s="312" t="s">
        <v>137</v>
      </c>
      <c r="G1778" s="26">
        <v>0</v>
      </c>
      <c r="H1778" s="26">
        <v>0</v>
      </c>
      <c r="I1778" s="26">
        <v>0</v>
      </c>
      <c r="J1778" s="26">
        <v>1061</v>
      </c>
      <c r="K1778" s="26">
        <v>1000</v>
      </c>
      <c r="L1778" s="26">
        <v>512</v>
      </c>
      <c r="M1778" s="26">
        <v>1500</v>
      </c>
      <c r="N1778" s="26">
        <v>1500</v>
      </c>
      <c r="O1778" s="285"/>
    </row>
    <row r="1779" spans="1:15" ht="15" customHeight="1">
      <c r="C1779" s="3">
        <v>10</v>
      </c>
      <c r="D1779" s="15" t="s">
        <v>1299</v>
      </c>
      <c r="E1779" s="312" t="s">
        <v>139</v>
      </c>
      <c r="G1779" s="26">
        <v>0</v>
      </c>
      <c r="H1779" s="26">
        <v>0</v>
      </c>
      <c r="I1779" s="26">
        <v>0</v>
      </c>
      <c r="J1779" s="26">
        <v>2476</v>
      </c>
      <c r="K1779" s="26">
        <v>2000</v>
      </c>
      <c r="L1779" s="26">
        <v>0</v>
      </c>
      <c r="M1779" s="26">
        <v>1000</v>
      </c>
      <c r="N1779" s="26">
        <v>1200</v>
      </c>
      <c r="O1779" s="285"/>
    </row>
    <row r="1780" spans="1:15" ht="15" customHeight="1">
      <c r="C1780" s="3">
        <v>10</v>
      </c>
      <c r="D1780" s="15" t="s">
        <v>1300</v>
      </c>
      <c r="E1780" s="312" t="s">
        <v>141</v>
      </c>
      <c r="G1780" s="26">
        <v>0</v>
      </c>
      <c r="H1780" s="26">
        <v>0</v>
      </c>
      <c r="I1780" s="26">
        <v>0</v>
      </c>
      <c r="J1780" s="26">
        <v>100</v>
      </c>
      <c r="K1780" s="26">
        <v>0</v>
      </c>
      <c r="L1780" s="26">
        <v>0</v>
      </c>
      <c r="M1780" s="26">
        <v>0</v>
      </c>
      <c r="N1780" s="26">
        <v>0</v>
      </c>
      <c r="O1780" s="285"/>
    </row>
    <row r="1781" spans="1:15" ht="15" customHeight="1">
      <c r="C1781" s="3">
        <v>10</v>
      </c>
      <c r="D1781" s="15" t="s">
        <v>1301</v>
      </c>
      <c r="E1781" s="312" t="s">
        <v>151</v>
      </c>
      <c r="G1781" s="26">
        <v>0</v>
      </c>
      <c r="H1781" s="26">
        <v>0</v>
      </c>
      <c r="I1781" s="26">
        <v>0</v>
      </c>
      <c r="J1781" s="26">
        <v>682</v>
      </c>
      <c r="K1781" s="26">
        <v>0</v>
      </c>
      <c r="L1781" s="26">
        <v>0</v>
      </c>
      <c r="M1781" s="26">
        <v>350</v>
      </c>
      <c r="N1781" s="26">
        <v>600</v>
      </c>
      <c r="O1781" s="285"/>
    </row>
    <row r="1782" spans="1:15" ht="15" customHeight="1">
      <c r="C1782" s="3">
        <v>10</v>
      </c>
      <c r="D1782" s="15" t="s">
        <v>1302</v>
      </c>
      <c r="E1782" s="312" t="s">
        <v>153</v>
      </c>
      <c r="G1782" s="26">
        <v>0</v>
      </c>
      <c r="H1782" s="26">
        <v>0</v>
      </c>
      <c r="I1782" s="26">
        <v>0</v>
      </c>
      <c r="J1782" s="26">
        <v>6803</v>
      </c>
      <c r="K1782" s="26">
        <v>6000</v>
      </c>
      <c r="L1782" s="26">
        <v>2636</v>
      </c>
      <c r="M1782" s="26">
        <v>4500</v>
      </c>
      <c r="N1782" s="26">
        <v>5000</v>
      </c>
      <c r="O1782" s="285"/>
    </row>
    <row r="1783" spans="1:15" ht="15" customHeight="1">
      <c r="C1783" s="3">
        <v>10</v>
      </c>
      <c r="D1783" s="15" t="s">
        <v>2881</v>
      </c>
      <c r="E1783" s="312" t="s">
        <v>2906</v>
      </c>
      <c r="G1783" s="26">
        <v>0</v>
      </c>
      <c r="H1783" s="26">
        <v>0</v>
      </c>
      <c r="I1783" s="26">
        <v>0</v>
      </c>
      <c r="J1783" s="26">
        <v>0</v>
      </c>
      <c r="K1783" s="26">
        <v>10000</v>
      </c>
      <c r="L1783" s="26">
        <v>0</v>
      </c>
      <c r="M1783" s="26">
        <v>10000</v>
      </c>
      <c r="N1783" s="26">
        <v>17500</v>
      </c>
      <c r="O1783" s="296" t="s">
        <v>2946</v>
      </c>
    </row>
    <row r="1784" spans="1:15" ht="15" customHeight="1">
      <c r="C1784" s="3">
        <v>10</v>
      </c>
      <c r="D1784" s="15" t="s">
        <v>2883</v>
      </c>
      <c r="E1784" s="312" t="s">
        <v>2882</v>
      </c>
      <c r="G1784" s="26">
        <v>0</v>
      </c>
      <c r="H1784" s="26">
        <v>0</v>
      </c>
      <c r="I1784" s="26">
        <v>0</v>
      </c>
      <c r="J1784" s="26">
        <v>0</v>
      </c>
      <c r="K1784" s="26">
        <v>0</v>
      </c>
      <c r="L1784" s="26">
        <v>0</v>
      </c>
      <c r="M1784" s="26">
        <v>0</v>
      </c>
      <c r="N1784" s="26">
        <v>0</v>
      </c>
      <c r="O1784" s="296"/>
    </row>
    <row r="1785" spans="1:15" ht="15" customHeight="1">
      <c r="C1785" s="3">
        <v>10</v>
      </c>
      <c r="D1785" s="15" t="s">
        <v>1305</v>
      </c>
      <c r="E1785" s="312" t="s">
        <v>162</v>
      </c>
      <c r="G1785" s="26">
        <v>0</v>
      </c>
      <c r="H1785" s="26">
        <v>0</v>
      </c>
      <c r="I1785" s="26">
        <v>0</v>
      </c>
      <c r="J1785" s="26">
        <v>1467</v>
      </c>
      <c r="K1785" s="26">
        <v>2500</v>
      </c>
      <c r="L1785" s="26">
        <v>1976</v>
      </c>
      <c r="M1785" s="26">
        <v>3500</v>
      </c>
      <c r="N1785" s="26">
        <v>3850</v>
      </c>
      <c r="O1785" s="285"/>
    </row>
    <row r="1786" spans="1:15" ht="15" customHeight="1">
      <c r="G1786" s="26"/>
      <c r="H1786" s="26"/>
      <c r="I1786" s="26"/>
      <c r="J1786" s="26"/>
      <c r="K1786" s="26"/>
      <c r="L1786" s="26"/>
      <c r="M1786" s="26"/>
      <c r="N1786" s="26"/>
    </row>
    <row r="1787" spans="1:15" s="22" customFormat="1" ht="15" customHeight="1">
      <c r="A1787" s="2" t="s">
        <v>135</v>
      </c>
      <c r="B1787" s="2" t="s">
        <v>2317</v>
      </c>
      <c r="C1787" s="3"/>
      <c r="D1787" s="323" t="s">
        <v>2185</v>
      </c>
      <c r="E1787" s="323"/>
      <c r="F1787" s="324"/>
      <c r="G1787" s="325">
        <f>SUM(G1776:G1786)</f>
        <v>0</v>
      </c>
      <c r="H1787" s="325">
        <f t="shared" ref="H1787:N1787" si="143">SUM(H1776:H1786)</f>
        <v>0</v>
      </c>
      <c r="I1787" s="325">
        <f t="shared" si="143"/>
        <v>0</v>
      </c>
      <c r="J1787" s="325">
        <f t="shared" si="143"/>
        <v>12589</v>
      </c>
      <c r="K1787" s="325">
        <f t="shared" si="143"/>
        <v>21500</v>
      </c>
      <c r="L1787" s="325">
        <f t="shared" si="143"/>
        <v>5124</v>
      </c>
      <c r="M1787" s="325">
        <f t="shared" si="143"/>
        <v>20850</v>
      </c>
      <c r="N1787" s="325">
        <f t="shared" si="143"/>
        <v>29650</v>
      </c>
      <c r="O1787" s="18"/>
    </row>
    <row r="1788" spans="1:15" s="46" customFormat="1" ht="15" customHeight="1">
      <c r="A1788" s="2"/>
      <c r="B1788" s="2"/>
      <c r="C1788" s="3"/>
      <c r="D1788" s="47"/>
      <c r="E1788" s="47"/>
      <c r="F1788" s="191"/>
      <c r="G1788" s="48"/>
      <c r="H1788" s="48"/>
      <c r="I1788" s="48"/>
      <c r="J1788" s="48"/>
      <c r="K1788" s="48"/>
      <c r="L1788" s="48"/>
      <c r="M1788" s="48"/>
      <c r="N1788" s="48"/>
      <c r="O1788" s="47"/>
    </row>
    <row r="1789" spans="1:15" ht="15" customHeight="1">
      <c r="D1789" s="47" t="s">
        <v>2186</v>
      </c>
      <c r="G1789" s="26"/>
      <c r="H1789" s="26"/>
      <c r="I1789" s="26"/>
      <c r="J1789" s="26"/>
      <c r="K1789" s="26"/>
      <c r="L1789" s="26"/>
      <c r="M1789" s="26"/>
      <c r="N1789" s="26"/>
    </row>
    <row r="1790" spans="1:15" ht="15" customHeight="1">
      <c r="G1790" s="26"/>
      <c r="H1790" s="26"/>
      <c r="I1790" s="26"/>
      <c r="J1790" s="26"/>
      <c r="K1790" s="26"/>
      <c r="L1790" s="26"/>
      <c r="M1790" s="26"/>
      <c r="N1790" s="26"/>
    </row>
    <row r="1791" spans="1:15" ht="15" customHeight="1">
      <c r="C1791" s="3">
        <v>10</v>
      </c>
      <c r="D1791" s="15" t="s">
        <v>1306</v>
      </c>
      <c r="E1791" s="312" t="s">
        <v>433</v>
      </c>
      <c r="G1791" s="26">
        <v>0</v>
      </c>
      <c r="H1791" s="26">
        <v>0</v>
      </c>
      <c r="I1791" s="26">
        <v>0</v>
      </c>
      <c r="J1791" s="26">
        <v>184</v>
      </c>
      <c r="K1791" s="26">
        <v>0</v>
      </c>
      <c r="L1791" s="26">
        <v>0</v>
      </c>
      <c r="M1791" s="26">
        <v>0</v>
      </c>
      <c r="N1791" s="26">
        <v>0</v>
      </c>
      <c r="O1791" s="285"/>
    </row>
    <row r="1792" spans="1:15" ht="15" customHeight="1">
      <c r="C1792" s="3">
        <v>10</v>
      </c>
      <c r="D1792" s="15" t="s">
        <v>2490</v>
      </c>
      <c r="E1792" s="312" t="s">
        <v>171</v>
      </c>
      <c r="G1792" s="26">
        <v>0</v>
      </c>
      <c r="H1792" s="26">
        <v>0</v>
      </c>
      <c r="I1792" s="26">
        <v>0</v>
      </c>
      <c r="J1792" s="26">
        <v>106</v>
      </c>
      <c r="K1792" s="26">
        <v>0</v>
      </c>
      <c r="L1792" s="26">
        <v>294</v>
      </c>
      <c r="M1792" s="26">
        <v>300</v>
      </c>
      <c r="N1792" s="26">
        <v>500</v>
      </c>
      <c r="O1792" s="285" t="s">
        <v>2656</v>
      </c>
    </row>
    <row r="1793" spans="1:24" ht="15" customHeight="1">
      <c r="D1793" s="15" t="s">
        <v>2833</v>
      </c>
      <c r="G1793" s="26"/>
      <c r="H1793" s="26"/>
      <c r="I1793" s="26"/>
      <c r="J1793" s="26"/>
      <c r="K1793" s="26"/>
      <c r="L1793" s="26"/>
      <c r="M1793" s="26"/>
      <c r="N1793" s="26"/>
    </row>
    <row r="1794" spans="1:24" s="23" customFormat="1" ht="15" customHeight="1">
      <c r="A1794" s="2" t="s">
        <v>163</v>
      </c>
      <c r="B1794" s="2" t="s">
        <v>2317</v>
      </c>
      <c r="C1794" s="3"/>
      <c r="D1794" s="323" t="s">
        <v>2187</v>
      </c>
      <c r="E1794" s="323"/>
      <c r="F1794" s="324"/>
      <c r="G1794" s="325">
        <f t="shared" ref="G1794:L1794" si="144">SUM(G1791:G1793)</f>
        <v>0</v>
      </c>
      <c r="H1794" s="325">
        <f t="shared" si="144"/>
        <v>0</v>
      </c>
      <c r="I1794" s="325">
        <f t="shared" si="144"/>
        <v>0</v>
      </c>
      <c r="J1794" s="325">
        <f t="shared" si="144"/>
        <v>290</v>
      </c>
      <c r="K1794" s="325">
        <f t="shared" si="144"/>
        <v>0</v>
      </c>
      <c r="L1794" s="325">
        <f t="shared" si="144"/>
        <v>294</v>
      </c>
      <c r="M1794" s="325">
        <f>SUM(M1789:M1793)</f>
        <v>300</v>
      </c>
      <c r="N1794" s="325">
        <f>SUM(N1789:N1793)</f>
        <v>500</v>
      </c>
      <c r="O1794" s="19"/>
    </row>
    <row r="1795" spans="1:24" ht="15" customHeight="1">
      <c r="G1795" s="26"/>
      <c r="H1795" s="26"/>
      <c r="I1795" s="26"/>
      <c r="J1795" s="26"/>
      <c r="K1795" s="26"/>
      <c r="L1795" s="26"/>
      <c r="M1795" s="26"/>
      <c r="N1795" s="26"/>
    </row>
    <row r="1796" spans="1:24" s="43" customFormat="1" ht="15" customHeight="1" thickBot="1">
      <c r="A1796" s="2"/>
      <c r="B1796" s="2" t="s">
        <v>2317</v>
      </c>
      <c r="C1796" s="3"/>
      <c r="D1796" s="68" t="s">
        <v>1996</v>
      </c>
      <c r="E1796" s="326"/>
      <c r="F1796" s="327"/>
      <c r="G1796" s="328">
        <f t="shared" ref="G1796:N1796" si="145">+G1794+G1787+G1774+G1761</f>
        <v>0</v>
      </c>
      <c r="H1796" s="328">
        <f t="shared" si="145"/>
        <v>0</v>
      </c>
      <c r="I1796" s="328">
        <f t="shared" si="145"/>
        <v>0</v>
      </c>
      <c r="J1796" s="328">
        <f t="shared" si="145"/>
        <v>54090</v>
      </c>
      <c r="K1796" s="328">
        <f t="shared" si="145"/>
        <v>86586</v>
      </c>
      <c r="L1796" s="328">
        <f t="shared" si="145"/>
        <v>43233</v>
      </c>
      <c r="M1796" s="328">
        <f t="shared" si="145"/>
        <v>86449.459999999992</v>
      </c>
      <c r="N1796" s="328">
        <f t="shared" si="145"/>
        <v>98253</v>
      </c>
      <c r="O1796" s="44"/>
    </row>
    <row r="1797" spans="1:24" s="49" customFormat="1" ht="15" customHeight="1" thickTop="1">
      <c r="A1797" s="2"/>
      <c r="B1797" s="2"/>
      <c r="C1797" s="3"/>
      <c r="D1797" s="47"/>
      <c r="E1797" s="15"/>
      <c r="F1797" s="105"/>
      <c r="G1797" s="26"/>
      <c r="H1797" s="26"/>
      <c r="I1797" s="26"/>
      <c r="J1797" s="26"/>
      <c r="K1797" s="26"/>
      <c r="L1797" s="26"/>
      <c r="M1797" s="25"/>
      <c r="N1797" s="25"/>
      <c r="O1797" s="41"/>
    </row>
    <row r="1798" spans="1:24" s="31" customFormat="1" ht="15" customHeight="1">
      <c r="A1798" s="2"/>
      <c r="B1798" s="2" t="s">
        <v>2317</v>
      </c>
      <c r="C1798" s="3"/>
      <c r="D1798" s="47" t="s">
        <v>2188</v>
      </c>
      <c r="E1798" s="47"/>
      <c r="F1798" s="191"/>
      <c r="G1798" s="48">
        <f t="shared" ref="G1798:N1798" si="146">+G1796+G1748+G1701+G1610+G1524+G1448+G1371+G1271+G1170+G1091+G1010+G913+G805+G701+G607+G506+G432+G363+G286+G200+G138</f>
        <v>5704680</v>
      </c>
      <c r="H1798" s="48">
        <f t="shared" si="146"/>
        <v>5989539</v>
      </c>
      <c r="I1798" s="48">
        <f t="shared" si="146"/>
        <v>6006776</v>
      </c>
      <c r="J1798" s="48">
        <f t="shared" si="146"/>
        <v>6391282</v>
      </c>
      <c r="K1798" s="48">
        <f t="shared" si="146"/>
        <v>6457922</v>
      </c>
      <c r="L1798" s="48">
        <f t="shared" si="146"/>
        <v>3697411</v>
      </c>
      <c r="M1798" s="48">
        <f t="shared" si="146"/>
        <v>6313068.2299999995</v>
      </c>
      <c r="N1798" s="48">
        <f t="shared" si="146"/>
        <v>6498599.9100000001</v>
      </c>
      <c r="O1798" s="32"/>
    </row>
    <row r="1799" spans="1:24" s="46" customFormat="1" ht="15" customHeight="1">
      <c r="A1799" s="2"/>
      <c r="B1799" s="2"/>
      <c r="C1799" s="3"/>
      <c r="D1799" s="47"/>
      <c r="E1799" s="47"/>
      <c r="F1799" s="191"/>
      <c r="G1799" s="48"/>
      <c r="H1799" s="48"/>
      <c r="I1799" s="48"/>
      <c r="J1799" s="48"/>
      <c r="K1799" s="48"/>
      <c r="L1799" s="48"/>
      <c r="M1799" s="48"/>
      <c r="N1799" s="48"/>
      <c r="O1799" s="47"/>
    </row>
    <row r="1800" spans="1:24" s="33" customFormat="1" ht="15" customHeight="1" thickBot="1">
      <c r="A1800" s="2"/>
      <c r="B1800" s="2" t="s">
        <v>2317</v>
      </c>
      <c r="C1800" s="3"/>
      <c r="D1800" s="329" t="s">
        <v>2189</v>
      </c>
      <c r="E1800" s="329"/>
      <c r="F1800" s="330"/>
      <c r="G1800" s="331">
        <f t="shared" ref="G1800:N1800" si="147">+G110-G1798</f>
        <v>-532827</v>
      </c>
      <c r="H1800" s="331">
        <f t="shared" si="147"/>
        <v>-14594</v>
      </c>
      <c r="I1800" s="331">
        <f t="shared" si="147"/>
        <v>-176164</v>
      </c>
      <c r="J1800" s="331">
        <f t="shared" si="147"/>
        <v>-517084</v>
      </c>
      <c r="K1800" s="331">
        <f t="shared" si="147"/>
        <v>4551</v>
      </c>
      <c r="L1800" s="331">
        <f t="shared" si="147"/>
        <v>369228</v>
      </c>
      <c r="M1800" s="331">
        <f t="shared" si="147"/>
        <v>121385.77000000048</v>
      </c>
      <c r="N1800" s="331">
        <f t="shared" si="147"/>
        <v>121504.91944746021</v>
      </c>
      <c r="O1800" s="34"/>
    </row>
    <row r="1801" spans="1:24" s="46" customFormat="1" ht="15" customHeight="1" thickTop="1">
      <c r="A1801" s="2"/>
      <c r="B1801" s="2"/>
      <c r="C1801" s="3"/>
      <c r="D1801" s="47"/>
      <c r="E1801" s="47"/>
      <c r="F1801" s="191"/>
      <c r="G1801" s="48"/>
      <c r="H1801" s="48"/>
      <c r="I1801" s="48"/>
      <c r="J1801" s="48"/>
      <c r="K1801" s="48"/>
      <c r="L1801" s="48"/>
      <c r="M1801" s="48"/>
      <c r="N1801" s="48"/>
      <c r="O1801" s="47"/>
    </row>
    <row r="1802" spans="1:24" ht="15" customHeight="1">
      <c r="D1802" s="54" t="s">
        <v>2875</v>
      </c>
      <c r="E1802" s="54"/>
      <c r="F1802" s="192"/>
      <c r="G1802" s="55"/>
      <c r="H1802" s="55"/>
      <c r="I1802" s="55"/>
      <c r="J1802" s="55"/>
      <c r="K1802" s="55">
        <f>+K44</f>
        <v>516091</v>
      </c>
      <c r="L1802" s="55"/>
      <c r="M1802" s="55">
        <f>+M44</f>
        <v>632925.77000000048</v>
      </c>
      <c r="N1802" s="55">
        <f>+N44</f>
        <v>754430.6894474607</v>
      </c>
      <c r="O1802" s="253">
        <f>+O44</f>
        <v>0</v>
      </c>
      <c r="P1802" s="203"/>
      <c r="Q1802" s="204"/>
      <c r="R1802" s="205"/>
      <c r="S1802" s="206"/>
      <c r="T1802" s="207"/>
      <c r="U1802" s="207"/>
      <c r="V1802" s="208"/>
      <c r="W1802" s="212"/>
    </row>
    <row r="1803" spans="1:24" s="46" customFormat="1" ht="15" customHeight="1">
      <c r="A1803" s="2"/>
      <c r="B1803" s="2"/>
      <c r="C1803" s="3"/>
      <c r="D1803" s="47"/>
      <c r="E1803" s="47"/>
      <c r="F1803" s="191"/>
      <c r="G1803" s="48"/>
      <c r="H1803" s="48"/>
      <c r="I1803" s="48"/>
      <c r="J1803" s="48"/>
      <c r="K1803" s="48"/>
      <c r="L1803" s="48"/>
      <c r="M1803" s="48"/>
      <c r="N1803" s="48"/>
      <c r="O1803" s="47"/>
    </row>
    <row r="1804" spans="1:24" s="35" customFormat="1" ht="15" customHeight="1">
      <c r="A1804" s="2"/>
      <c r="B1804" s="2"/>
      <c r="C1804" s="3"/>
      <c r="D1804" s="47" t="s">
        <v>1976</v>
      </c>
      <c r="E1804" s="47"/>
      <c r="F1804" s="191"/>
      <c r="G1804" s="48"/>
      <c r="H1804" s="48"/>
      <c r="I1804" s="48"/>
      <c r="J1804" s="48"/>
      <c r="K1804" s="48"/>
      <c r="L1804" s="48"/>
      <c r="M1804" s="48"/>
      <c r="N1804" s="48"/>
      <c r="O1804" s="16"/>
    </row>
    <row r="1805" spans="1:24" s="35" customFormat="1" ht="15" customHeight="1">
      <c r="A1805" s="2"/>
      <c r="B1805" s="2"/>
      <c r="C1805" s="3"/>
      <c r="D1805" s="47"/>
      <c r="E1805" s="47"/>
      <c r="F1805" s="191"/>
      <c r="G1805" s="48"/>
      <c r="H1805" s="48"/>
      <c r="I1805" s="48"/>
      <c r="J1805" s="48"/>
      <c r="K1805" s="48"/>
      <c r="L1805" s="48"/>
      <c r="M1805" s="48"/>
      <c r="N1805" s="48"/>
      <c r="O1805" s="16"/>
    </row>
    <row r="1806" spans="1:24" ht="15" customHeight="1">
      <c r="D1806" s="47" t="s">
        <v>2406</v>
      </c>
      <c r="G1806" s="26"/>
      <c r="H1806" s="26"/>
      <c r="I1806" s="26"/>
      <c r="J1806" s="26"/>
      <c r="K1806" s="26"/>
      <c r="L1806" s="26"/>
      <c r="M1806" s="26"/>
      <c r="N1806" s="26"/>
      <c r="P1806" s="83"/>
      <c r="Q1806" s="202">
        <v>1638</v>
      </c>
      <c r="R1806" s="210">
        <v>20</v>
      </c>
      <c r="S1806" s="205" t="s">
        <v>2610</v>
      </c>
      <c r="T1806" s="206"/>
      <c r="U1806" s="211"/>
      <c r="V1806" s="211"/>
      <c r="W1806" s="213"/>
      <c r="X1806" s="213"/>
    </row>
    <row r="1807" spans="1:24" ht="15" customHeight="1">
      <c r="D1807" s="47"/>
      <c r="G1807" s="26"/>
      <c r="H1807" s="26"/>
      <c r="I1807" s="26"/>
      <c r="J1807" s="26"/>
      <c r="K1807" s="26"/>
      <c r="L1807" s="26"/>
      <c r="M1807" s="26"/>
      <c r="N1807" s="26"/>
      <c r="P1807" s="83"/>
      <c r="Q1807" s="202"/>
      <c r="R1807" s="210"/>
      <c r="S1807" s="205"/>
      <c r="T1807" s="206"/>
      <c r="U1807" s="211"/>
      <c r="V1807" s="211"/>
      <c r="W1807" s="213"/>
      <c r="X1807" s="213"/>
    </row>
    <row r="1808" spans="1:24" ht="15" customHeight="1">
      <c r="D1808" s="54" t="s">
        <v>2874</v>
      </c>
      <c r="E1808" s="54"/>
      <c r="F1808" s="192"/>
      <c r="G1808" s="55"/>
      <c r="H1808" s="55"/>
      <c r="I1808" s="55"/>
      <c r="J1808" s="55">
        <f>K1808+123271</f>
        <v>1202577</v>
      </c>
      <c r="K1808" s="55">
        <v>1079306</v>
      </c>
      <c r="L1808" s="55"/>
      <c r="M1808" s="55">
        <f>K1808</f>
        <v>1079306</v>
      </c>
      <c r="N1808" s="55">
        <f>+M1830</f>
        <v>1231185.5</v>
      </c>
      <c r="O1808" s="278"/>
      <c r="P1808" s="203"/>
      <c r="Q1808" s="204"/>
      <c r="R1808" s="205"/>
      <c r="S1808" s="206"/>
      <c r="T1808" s="207"/>
      <c r="U1808" s="207"/>
      <c r="V1808" s="208"/>
      <c r="W1808" s="212"/>
    </row>
    <row r="1809" spans="2:24" ht="15" customHeight="1">
      <c r="G1809" s="26"/>
      <c r="H1809" s="26"/>
      <c r="I1809" s="26"/>
      <c r="J1809" s="26"/>
      <c r="K1809" s="26"/>
      <c r="L1809" s="26"/>
      <c r="M1809" s="26"/>
      <c r="N1809" s="26"/>
      <c r="P1809" s="78"/>
      <c r="Q1809" s="202">
        <v>1639</v>
      </c>
      <c r="R1809" s="210">
        <v>20</v>
      </c>
      <c r="S1809" s="205" t="s">
        <v>2611</v>
      </c>
      <c r="T1809" s="206"/>
      <c r="U1809" s="211"/>
      <c r="V1809" s="211"/>
      <c r="W1809" s="213"/>
      <c r="X1809" s="213"/>
    </row>
    <row r="1810" spans="2:24" ht="15" customHeight="1">
      <c r="D1810" s="47" t="s">
        <v>2219</v>
      </c>
      <c r="G1810" s="26"/>
      <c r="H1810" s="26"/>
      <c r="I1810" s="26"/>
      <c r="J1810" s="26"/>
      <c r="K1810" s="26"/>
      <c r="L1810" s="26"/>
      <c r="M1810" s="26"/>
      <c r="N1810" s="26"/>
      <c r="P1810" s="78"/>
      <c r="Q1810" s="202">
        <v>1640</v>
      </c>
      <c r="R1810" s="210">
        <v>20</v>
      </c>
      <c r="S1810" s="205" t="s">
        <v>2612</v>
      </c>
      <c r="T1810" s="206"/>
      <c r="U1810" s="211">
        <v>6353143</v>
      </c>
      <c r="V1810" s="211">
        <v>515121.29</v>
      </c>
      <c r="W1810" s="213">
        <v>3955960.04</v>
      </c>
      <c r="X1810" s="213">
        <v>62.27</v>
      </c>
    </row>
    <row r="1811" spans="2:24" ht="15" customHeight="1">
      <c r="G1811" s="26"/>
      <c r="H1811" s="26"/>
      <c r="I1811" s="26"/>
      <c r="J1811" s="26"/>
      <c r="K1811" s="26"/>
      <c r="L1811" s="26"/>
      <c r="M1811" s="26"/>
      <c r="N1811" s="26"/>
      <c r="P1811" s="73"/>
      <c r="Q1811" s="202">
        <v>1641</v>
      </c>
      <c r="R1811" s="210">
        <v>20</v>
      </c>
      <c r="S1811" s="205" t="s">
        <v>2613</v>
      </c>
      <c r="T1811" s="206"/>
      <c r="U1811" s="211">
        <v>6353143</v>
      </c>
      <c r="V1811" s="211">
        <v>515121.29</v>
      </c>
      <c r="W1811" s="213">
        <v>3955960.04</v>
      </c>
      <c r="X1811" s="213">
        <v>62.27</v>
      </c>
    </row>
    <row r="1812" spans="2:24" s="21" customFormat="1" ht="15" customHeight="1">
      <c r="B1812" s="8" t="s">
        <v>2318</v>
      </c>
      <c r="C1812" s="3"/>
      <c r="D1812" s="54" t="s">
        <v>2195</v>
      </c>
      <c r="E1812" s="54"/>
      <c r="F1812" s="192"/>
      <c r="G1812" s="55">
        <f>+G1814</f>
        <v>5473966</v>
      </c>
      <c r="H1812" s="55">
        <f t="shared" ref="H1812:N1812" si="148">+H1814</f>
        <v>5562174</v>
      </c>
      <c r="I1812" s="55">
        <f t="shared" si="148"/>
        <v>5594472</v>
      </c>
      <c r="J1812" s="55">
        <f t="shared" si="148"/>
        <v>5994241</v>
      </c>
      <c r="K1812" s="55">
        <f t="shared" si="148"/>
        <v>6353143</v>
      </c>
      <c r="L1812" s="55">
        <f t="shared" si="148"/>
        <v>3440839</v>
      </c>
      <c r="M1812" s="55">
        <f t="shared" si="148"/>
        <v>6212368</v>
      </c>
      <c r="N1812" s="55">
        <f t="shared" si="148"/>
        <v>6614325</v>
      </c>
      <c r="O1812" s="17"/>
      <c r="P1812" s="73"/>
      <c r="Q1812" s="202">
        <v>1642</v>
      </c>
      <c r="R1812" s="210">
        <v>20</v>
      </c>
      <c r="S1812" s="205" t="s">
        <v>2614</v>
      </c>
      <c r="T1812" s="206"/>
      <c r="U1812" s="211"/>
      <c r="V1812" s="211"/>
      <c r="W1812" s="213"/>
      <c r="X1812" s="213"/>
    </row>
    <row r="1813" spans="2:24" s="57" customFormat="1" ht="15" customHeight="1">
      <c r="B1813" s="12"/>
      <c r="C1813" s="3"/>
      <c r="D1813" s="54"/>
      <c r="E1813" s="54"/>
      <c r="F1813" s="192"/>
      <c r="G1813" s="55"/>
      <c r="H1813" s="55"/>
      <c r="I1813" s="55"/>
      <c r="J1813" s="55"/>
      <c r="K1813" s="55"/>
      <c r="L1813" s="55"/>
      <c r="M1813" s="55"/>
      <c r="N1813" s="55"/>
      <c r="O1813" s="54"/>
      <c r="P1813" s="73"/>
      <c r="Q1813" s="202">
        <v>1643</v>
      </c>
      <c r="R1813" s="210">
        <v>20</v>
      </c>
      <c r="S1813" s="205" t="s">
        <v>2615</v>
      </c>
      <c r="T1813" s="206"/>
      <c r="U1813" s="211"/>
      <c r="V1813" s="211"/>
      <c r="W1813" s="213"/>
      <c r="X1813" s="213"/>
    </row>
    <row r="1814" spans="2:24" s="27" customFormat="1" ht="15" customHeight="1" thickBot="1">
      <c r="B1814" s="9" t="s">
        <v>2318</v>
      </c>
      <c r="C1814" s="3"/>
      <c r="D1814" s="68" t="str">
        <f>+D1860</f>
        <v>*** TOTAL FUND 20 REVENUES ***</v>
      </c>
      <c r="E1814" s="68"/>
      <c r="F1814" s="68">
        <f>+F1860</f>
        <v>0</v>
      </c>
      <c r="G1814" s="69">
        <f>+G1860</f>
        <v>5473966</v>
      </c>
      <c r="H1814" s="69">
        <f t="shared" ref="H1814:N1814" si="149">+H1860</f>
        <v>5562174</v>
      </c>
      <c r="I1814" s="69">
        <f t="shared" si="149"/>
        <v>5594472</v>
      </c>
      <c r="J1814" s="69">
        <f t="shared" si="149"/>
        <v>5994241</v>
      </c>
      <c r="K1814" s="69">
        <f t="shared" si="149"/>
        <v>6353143</v>
      </c>
      <c r="L1814" s="69">
        <f t="shared" si="149"/>
        <v>3440839</v>
      </c>
      <c r="M1814" s="69">
        <f t="shared" si="149"/>
        <v>6212368</v>
      </c>
      <c r="N1814" s="69">
        <f t="shared" si="149"/>
        <v>6614325</v>
      </c>
      <c r="O1814" s="28"/>
      <c r="P1814" s="73"/>
      <c r="Q1814" s="202">
        <v>1644</v>
      </c>
      <c r="R1814" s="210">
        <v>20</v>
      </c>
      <c r="S1814" s="205" t="s">
        <v>1307</v>
      </c>
      <c r="T1814" s="206"/>
      <c r="U1814" s="211">
        <v>223096</v>
      </c>
      <c r="V1814" s="211">
        <v>15118.15</v>
      </c>
      <c r="W1814" s="213">
        <v>131556.57999999999</v>
      </c>
      <c r="X1814" s="213">
        <v>58.97</v>
      </c>
    </row>
    <row r="1815" spans="2:24" s="46" customFormat="1" ht="15" customHeight="1" thickTop="1">
      <c r="B1815" s="14"/>
      <c r="C1815" s="3"/>
      <c r="D1815" s="47"/>
      <c r="E1815" s="47"/>
      <c r="F1815" s="47"/>
      <c r="G1815" s="56"/>
      <c r="H1815" s="56"/>
      <c r="I1815" s="56"/>
      <c r="J1815" s="56"/>
      <c r="K1815" s="56"/>
      <c r="L1815" s="56"/>
      <c r="M1815" s="56"/>
      <c r="N1815" s="56"/>
      <c r="O1815" s="47"/>
      <c r="P1815" s="73"/>
      <c r="Q1815" s="202">
        <v>1645</v>
      </c>
      <c r="R1815" s="210">
        <v>20</v>
      </c>
      <c r="S1815" s="205" t="s">
        <v>1308</v>
      </c>
      <c r="T1815" s="206"/>
      <c r="U1815" s="211">
        <v>1739447</v>
      </c>
      <c r="V1815" s="211">
        <v>128309.26</v>
      </c>
      <c r="W1815" s="213">
        <v>1081946.8600000001</v>
      </c>
      <c r="X1815" s="213">
        <v>62.2</v>
      </c>
    </row>
    <row r="1816" spans="2:24" ht="15" customHeight="1">
      <c r="D1816" s="47" t="s">
        <v>1977</v>
      </c>
      <c r="G1816" s="26"/>
      <c r="H1816" s="26"/>
      <c r="I1816" s="26"/>
      <c r="J1816" s="26"/>
      <c r="K1816" s="26"/>
      <c r="L1816" s="26"/>
      <c r="M1816" s="26"/>
      <c r="N1816" s="26"/>
      <c r="P1816" s="73"/>
      <c r="Q1816" s="202">
        <v>1646</v>
      </c>
      <c r="R1816" s="210">
        <v>20</v>
      </c>
      <c r="S1816" s="205" t="s">
        <v>1309</v>
      </c>
      <c r="T1816" s="206"/>
      <c r="U1816" s="211">
        <v>947701</v>
      </c>
      <c r="V1816" s="211">
        <v>89087.62</v>
      </c>
      <c r="W1816" s="213">
        <v>644020.97</v>
      </c>
      <c r="X1816" s="213">
        <v>67.959999999999994</v>
      </c>
    </row>
    <row r="1817" spans="2:24" ht="15" customHeight="1">
      <c r="E1817" s="332"/>
      <c r="G1817" s="26"/>
      <c r="H1817" s="26"/>
      <c r="I1817" s="26"/>
      <c r="J1817" s="26"/>
      <c r="K1817" s="26"/>
      <c r="L1817" s="26"/>
      <c r="M1817" s="26"/>
      <c r="N1817" s="26"/>
      <c r="P1817" s="73"/>
      <c r="Q1817" s="202">
        <v>1647</v>
      </c>
      <c r="R1817" s="210">
        <v>20</v>
      </c>
      <c r="S1817" s="205" t="s">
        <v>1310</v>
      </c>
      <c r="T1817" s="206"/>
      <c r="U1817" s="211">
        <v>1459285</v>
      </c>
      <c r="V1817" s="211">
        <v>124108.6</v>
      </c>
      <c r="W1817" s="213">
        <v>878607.37</v>
      </c>
      <c r="X1817" s="213">
        <v>60.21</v>
      </c>
    </row>
    <row r="1818" spans="2:24" ht="15" customHeight="1">
      <c r="B1818" s="2" t="s">
        <v>2318</v>
      </c>
      <c r="C1818" s="3">
        <v>20</v>
      </c>
      <c r="D1818" s="13" t="s">
        <v>1307</v>
      </c>
      <c r="E1818" s="25"/>
      <c r="F1818" s="25"/>
      <c r="G1818" s="25">
        <f>+G1941</f>
        <v>200778</v>
      </c>
      <c r="H1818" s="25">
        <f t="shared" ref="H1818:N1818" si="150">+H1941</f>
        <v>216168</v>
      </c>
      <c r="I1818" s="25">
        <f t="shared" si="150"/>
        <v>214123</v>
      </c>
      <c r="J1818" s="25">
        <f t="shared" si="150"/>
        <v>210286</v>
      </c>
      <c r="K1818" s="25">
        <f t="shared" si="150"/>
        <v>223096</v>
      </c>
      <c r="L1818" s="25">
        <f t="shared" si="150"/>
        <v>116441</v>
      </c>
      <c r="M1818" s="25">
        <f t="shared" si="150"/>
        <v>226628.01</v>
      </c>
      <c r="N1818" s="25">
        <f t="shared" si="150"/>
        <v>236093.4</v>
      </c>
      <c r="P1818" s="73"/>
      <c r="Q1818" s="202">
        <v>1648</v>
      </c>
      <c r="R1818" s="210">
        <v>20</v>
      </c>
      <c r="S1818" s="205" t="s">
        <v>1311</v>
      </c>
      <c r="T1818" s="206"/>
      <c r="U1818" s="211">
        <v>707453</v>
      </c>
      <c r="V1818" s="211">
        <v>56474.75</v>
      </c>
      <c r="W1818" s="213">
        <v>472074.11</v>
      </c>
      <c r="X1818" s="213">
        <v>66.73</v>
      </c>
    </row>
    <row r="1819" spans="2:24" ht="15" customHeight="1">
      <c r="B1819" s="2" t="s">
        <v>2318</v>
      </c>
      <c r="C1819" s="3">
        <v>20</v>
      </c>
      <c r="D1819" s="15" t="s">
        <v>1308</v>
      </c>
      <c r="F1819" s="26"/>
      <c r="G1819" s="26">
        <f>+G2069</f>
        <v>1692369</v>
      </c>
      <c r="H1819" s="26">
        <f t="shared" ref="H1819:N1819" si="151">+H2069</f>
        <v>1497939</v>
      </c>
      <c r="I1819" s="26">
        <f t="shared" si="151"/>
        <v>1576060</v>
      </c>
      <c r="J1819" s="26">
        <f t="shared" si="151"/>
        <v>1657358</v>
      </c>
      <c r="K1819" s="26">
        <f t="shared" si="151"/>
        <v>1739447</v>
      </c>
      <c r="L1819" s="26">
        <f t="shared" si="151"/>
        <v>953637</v>
      </c>
      <c r="M1819" s="26">
        <f t="shared" si="151"/>
        <v>1587252.6600000001</v>
      </c>
      <c r="N1819" s="26">
        <f t="shared" si="151"/>
        <v>1891157</v>
      </c>
      <c r="P1819" s="73"/>
      <c r="Q1819" s="202">
        <v>1649</v>
      </c>
      <c r="R1819" s="210">
        <v>20</v>
      </c>
      <c r="S1819" s="205" t="s">
        <v>1312</v>
      </c>
      <c r="T1819" s="206"/>
      <c r="U1819" s="211">
        <v>1271873</v>
      </c>
      <c r="V1819" s="211">
        <v>105989.42</v>
      </c>
      <c r="W1819" s="213">
        <v>847915.36</v>
      </c>
      <c r="X1819" s="213">
        <v>66.67</v>
      </c>
    </row>
    <row r="1820" spans="2:24" ht="15" customHeight="1">
      <c r="B1820" s="2" t="s">
        <v>2318</v>
      </c>
      <c r="C1820" s="3">
        <v>20</v>
      </c>
      <c r="D1820" s="15" t="s">
        <v>1309</v>
      </c>
      <c r="F1820" s="26"/>
      <c r="G1820" s="26">
        <f>+G2181</f>
        <v>669131</v>
      </c>
      <c r="H1820" s="26">
        <f t="shared" ref="H1820:N1820" si="152">+H2181</f>
        <v>967477</v>
      </c>
      <c r="I1820" s="26">
        <f t="shared" si="152"/>
        <v>988081</v>
      </c>
      <c r="J1820" s="26">
        <f t="shared" si="152"/>
        <v>927068</v>
      </c>
      <c r="K1820" s="26">
        <f t="shared" si="152"/>
        <v>947701</v>
      </c>
      <c r="L1820" s="26">
        <f t="shared" si="152"/>
        <v>554936</v>
      </c>
      <c r="M1820" s="26">
        <f t="shared" si="152"/>
        <v>898804.83000000007</v>
      </c>
      <c r="N1820" s="26">
        <f t="shared" si="152"/>
        <v>990580</v>
      </c>
      <c r="P1820" s="73"/>
      <c r="Q1820" s="202">
        <v>1650</v>
      </c>
      <c r="R1820" s="210">
        <v>20</v>
      </c>
      <c r="S1820" s="205" t="s">
        <v>1313</v>
      </c>
      <c r="T1820" s="206"/>
      <c r="U1820" s="211">
        <v>0</v>
      </c>
      <c r="V1820" s="211">
        <v>0</v>
      </c>
      <c r="W1820" s="213">
        <v>0</v>
      </c>
      <c r="X1820" s="213">
        <v>0</v>
      </c>
    </row>
    <row r="1821" spans="2:24" ht="15" customHeight="1">
      <c r="B1821" s="2" t="s">
        <v>2318</v>
      </c>
      <c r="C1821" s="3">
        <v>20</v>
      </c>
      <c r="D1821" s="15" t="s">
        <v>1310</v>
      </c>
      <c r="F1821" s="26"/>
      <c r="G1821" s="26">
        <f>+G2281</f>
        <v>962852</v>
      </c>
      <c r="H1821" s="26">
        <f t="shared" ref="H1821:N1821" si="153">+H2281</f>
        <v>1328563</v>
      </c>
      <c r="I1821" s="26">
        <f t="shared" si="153"/>
        <v>1352092</v>
      </c>
      <c r="J1821" s="26">
        <f t="shared" si="153"/>
        <v>1393356</v>
      </c>
      <c r="K1821" s="26">
        <f t="shared" si="153"/>
        <v>1459285</v>
      </c>
      <c r="L1821" s="26">
        <f t="shared" si="153"/>
        <v>754499</v>
      </c>
      <c r="M1821" s="26">
        <f t="shared" si="153"/>
        <v>1372727</v>
      </c>
      <c r="N1821" s="26">
        <f t="shared" si="153"/>
        <v>1513416</v>
      </c>
      <c r="P1821" s="73"/>
      <c r="Q1821" s="202">
        <v>1651</v>
      </c>
      <c r="R1821" s="210">
        <v>20</v>
      </c>
      <c r="S1821" s="205" t="s">
        <v>2618</v>
      </c>
      <c r="T1821" s="206"/>
      <c r="U1821" s="211">
        <v>6348855</v>
      </c>
      <c r="V1821" s="211">
        <v>519087.8</v>
      </c>
      <c r="W1821" s="213">
        <v>4056121.25</v>
      </c>
      <c r="X1821" s="213">
        <v>63.89</v>
      </c>
    </row>
    <row r="1822" spans="2:24" ht="15" customHeight="1">
      <c r="B1822" s="2" t="s">
        <v>2318</v>
      </c>
      <c r="C1822" s="3">
        <v>20</v>
      </c>
      <c r="D1822" s="15" t="s">
        <v>1311</v>
      </c>
      <c r="F1822" s="26"/>
      <c r="G1822" s="26">
        <f>+G2318</f>
        <v>311830</v>
      </c>
      <c r="H1822" s="26">
        <f t="shared" ref="H1822:N1822" si="154">+H2318</f>
        <v>538980</v>
      </c>
      <c r="I1822" s="26">
        <f t="shared" si="154"/>
        <v>698280</v>
      </c>
      <c r="J1822" s="26">
        <f t="shared" si="154"/>
        <v>707603</v>
      </c>
      <c r="K1822" s="26">
        <f t="shared" si="154"/>
        <v>707453</v>
      </c>
      <c r="L1822" s="26">
        <f t="shared" si="154"/>
        <v>415599</v>
      </c>
      <c r="M1822" s="26">
        <f t="shared" si="154"/>
        <v>703203</v>
      </c>
      <c r="N1822" s="26">
        <f t="shared" si="154"/>
        <v>590750</v>
      </c>
      <c r="O1822" s="275" t="s">
        <v>3069</v>
      </c>
      <c r="P1822" s="73"/>
      <c r="Q1822" s="202">
        <v>1652</v>
      </c>
      <c r="R1822" s="210">
        <v>20</v>
      </c>
      <c r="S1822" s="205" t="s">
        <v>2619</v>
      </c>
      <c r="T1822" s="206"/>
      <c r="U1822" s="211">
        <v>4288</v>
      </c>
      <c r="V1822" s="211">
        <v>-3966.51</v>
      </c>
      <c r="W1822" s="213">
        <v>-100161.21</v>
      </c>
      <c r="X1822" s="213">
        <v>-335.85</v>
      </c>
    </row>
    <row r="1823" spans="2:24" ht="15" customHeight="1">
      <c r="B1823" s="2" t="s">
        <v>2318</v>
      </c>
      <c r="C1823" s="3">
        <v>20</v>
      </c>
      <c r="D1823" s="15" t="s">
        <v>1312</v>
      </c>
      <c r="F1823" s="26"/>
      <c r="G1823" s="26">
        <f>+G2334</f>
        <v>1049888</v>
      </c>
      <c r="H1823" s="26">
        <f t="shared" ref="H1823:N1823" si="155">+H2334</f>
        <v>1065767</v>
      </c>
      <c r="I1823" s="26">
        <f t="shared" si="155"/>
        <v>1174481</v>
      </c>
      <c r="J1823" s="26">
        <f t="shared" si="155"/>
        <v>1221841</v>
      </c>
      <c r="K1823" s="26">
        <f t="shared" si="155"/>
        <v>1271873</v>
      </c>
      <c r="L1823" s="26">
        <f t="shared" si="155"/>
        <v>741926</v>
      </c>
      <c r="M1823" s="26">
        <f t="shared" si="155"/>
        <v>1271873</v>
      </c>
      <c r="N1823" s="26">
        <f t="shared" si="155"/>
        <v>1358782</v>
      </c>
      <c r="P1823" s="73"/>
      <c r="Q1823" s="202">
        <v>1653</v>
      </c>
      <c r="R1823" s="210">
        <v>20</v>
      </c>
      <c r="S1823" s="205">
        <v>4010.1010000000001</v>
      </c>
      <c r="T1823" s="206" t="s">
        <v>1314</v>
      </c>
      <c r="U1823" s="211">
        <v>2000</v>
      </c>
      <c r="V1823" s="211">
        <v>45</v>
      </c>
      <c r="W1823" s="213">
        <v>370</v>
      </c>
      <c r="X1823" s="213">
        <v>18.5</v>
      </c>
    </row>
    <row r="1824" spans="2:24" ht="15" customHeight="1">
      <c r="B1824" s="2" t="s">
        <v>2318</v>
      </c>
      <c r="C1824" s="3">
        <v>20</v>
      </c>
      <c r="D1824" s="333" t="s">
        <v>1313</v>
      </c>
      <c r="E1824" s="334"/>
      <c r="F1824" s="334"/>
      <c r="G1824" s="334">
        <f>+G2352</f>
        <v>-847</v>
      </c>
      <c r="H1824" s="334">
        <f t="shared" ref="H1824:N1824" si="156">+H2352</f>
        <v>640</v>
      </c>
      <c r="I1824" s="334">
        <f t="shared" si="156"/>
        <v>0</v>
      </c>
      <c r="J1824" s="334">
        <f t="shared" si="156"/>
        <v>0</v>
      </c>
      <c r="K1824" s="334">
        <f t="shared" si="156"/>
        <v>0</v>
      </c>
      <c r="L1824" s="334">
        <f t="shared" si="156"/>
        <v>0</v>
      </c>
      <c r="M1824" s="334">
        <f t="shared" si="156"/>
        <v>0</v>
      </c>
      <c r="N1824" s="334">
        <f t="shared" si="156"/>
        <v>0</v>
      </c>
      <c r="P1824" s="73"/>
      <c r="Q1824" s="202">
        <v>1654</v>
      </c>
      <c r="R1824" s="210">
        <v>20</v>
      </c>
      <c r="S1824" s="205">
        <v>4010.1030000000001</v>
      </c>
      <c r="T1824" s="206" t="s">
        <v>1315</v>
      </c>
      <c r="U1824" s="211">
        <v>0</v>
      </c>
      <c r="V1824" s="211">
        <v>0</v>
      </c>
      <c r="W1824" s="213">
        <v>0</v>
      </c>
      <c r="X1824" s="213">
        <v>0</v>
      </c>
    </row>
    <row r="1825" spans="1:24" ht="15" customHeight="1">
      <c r="D1825" s="47"/>
      <c r="G1825" s="26"/>
      <c r="H1825" s="26"/>
      <c r="I1825" s="26"/>
      <c r="J1825" s="26"/>
      <c r="K1825" s="26"/>
      <c r="L1825" s="26"/>
      <c r="M1825" s="26"/>
      <c r="N1825" s="26"/>
      <c r="P1825" s="78"/>
      <c r="Q1825" s="202">
        <v>1655</v>
      </c>
      <c r="R1825" s="210">
        <v>20</v>
      </c>
      <c r="S1825" s="205">
        <v>4110.1109999999999</v>
      </c>
      <c r="T1825" s="206" t="s">
        <v>1316</v>
      </c>
      <c r="U1825" s="211">
        <v>2969728</v>
      </c>
      <c r="V1825" s="211">
        <v>245698.69</v>
      </c>
      <c r="W1825" s="213">
        <v>1761387.15</v>
      </c>
      <c r="X1825" s="213">
        <v>59.31</v>
      </c>
    </row>
    <row r="1826" spans="1:24" s="37" customFormat="1" ht="15" customHeight="1">
      <c r="A1826" s="50"/>
      <c r="B1826" s="59" t="s">
        <v>2318</v>
      </c>
      <c r="C1826" s="3"/>
      <c r="D1826" s="47" t="str">
        <f>+D2355</f>
        <v>*** TOTAL FUND 20 EXPENSES ***</v>
      </c>
      <c r="E1826" s="47"/>
      <c r="F1826" s="47">
        <f t="shared" ref="F1826:N1826" si="157">+F2355</f>
        <v>0</v>
      </c>
      <c r="G1826" s="56">
        <f t="shared" si="157"/>
        <v>4886001</v>
      </c>
      <c r="H1826" s="56">
        <f t="shared" si="157"/>
        <v>5615534</v>
      </c>
      <c r="I1826" s="56">
        <f t="shared" si="157"/>
        <v>6003117</v>
      </c>
      <c r="J1826" s="56">
        <f t="shared" si="157"/>
        <v>6117512</v>
      </c>
      <c r="K1826" s="56">
        <f t="shared" si="157"/>
        <v>6348855</v>
      </c>
      <c r="L1826" s="56">
        <f t="shared" si="157"/>
        <v>3537038</v>
      </c>
      <c r="M1826" s="56">
        <f t="shared" si="157"/>
        <v>6060488.5</v>
      </c>
      <c r="N1826" s="56">
        <f t="shared" si="157"/>
        <v>6580778.4000000004</v>
      </c>
      <c r="O1826" s="38"/>
      <c r="P1826" s="84"/>
      <c r="Q1826" s="202">
        <v>1656</v>
      </c>
      <c r="R1826" s="210">
        <v>20</v>
      </c>
      <c r="S1826" s="205">
        <v>4110.1130000000003</v>
      </c>
      <c r="T1826" s="206" t="s">
        <v>1317</v>
      </c>
      <c r="U1826" s="211">
        <v>1678530</v>
      </c>
      <c r="V1826" s="211">
        <v>137336.67000000001</v>
      </c>
      <c r="W1826" s="213">
        <v>1120377.52</v>
      </c>
      <c r="X1826" s="213">
        <v>66.75</v>
      </c>
    </row>
    <row r="1827" spans="1:24" ht="15" customHeight="1">
      <c r="P1827" s="83"/>
      <c r="Q1827" s="202">
        <v>1657</v>
      </c>
      <c r="R1827" s="210">
        <v>20</v>
      </c>
      <c r="S1827" s="205">
        <v>4110.1149999999998</v>
      </c>
      <c r="T1827" s="206" t="s">
        <v>1318</v>
      </c>
      <c r="U1827" s="211">
        <v>1459285</v>
      </c>
      <c r="V1827" s="211">
        <v>115127.47</v>
      </c>
      <c r="W1827" s="213">
        <v>921494.5</v>
      </c>
      <c r="X1827" s="213">
        <v>63.15</v>
      </c>
    </row>
    <row r="1828" spans="1:24" s="33" customFormat="1" ht="15" customHeight="1" thickBot="1">
      <c r="A1828" s="51"/>
      <c r="B1828" s="60" t="s">
        <v>2318</v>
      </c>
      <c r="C1828" s="3"/>
      <c r="D1828" s="335" t="str">
        <f>+D2357</f>
        <v>*** FUND 20 REVENUES OVER(UNDER) EXPENSES ***</v>
      </c>
      <c r="E1828" s="336"/>
      <c r="F1828" s="336">
        <f t="shared" ref="F1828:N1828" si="158">+F2357</f>
        <v>0</v>
      </c>
      <c r="G1828" s="336">
        <f>+G2357</f>
        <v>587965</v>
      </c>
      <c r="H1828" s="336">
        <f t="shared" si="158"/>
        <v>-53360</v>
      </c>
      <c r="I1828" s="336">
        <f t="shared" si="158"/>
        <v>-408645</v>
      </c>
      <c r="J1828" s="336">
        <f t="shared" si="158"/>
        <v>-123271</v>
      </c>
      <c r="K1828" s="336">
        <f t="shared" si="158"/>
        <v>4288</v>
      </c>
      <c r="L1828" s="336">
        <f t="shared" si="158"/>
        <v>-96199</v>
      </c>
      <c r="M1828" s="336">
        <f t="shared" si="158"/>
        <v>151879.5</v>
      </c>
      <c r="N1828" s="336">
        <f t="shared" si="158"/>
        <v>33546.599999999627</v>
      </c>
      <c r="O1828" s="34"/>
      <c r="P1828" s="78"/>
      <c r="Q1828" s="202">
        <v>1658</v>
      </c>
      <c r="R1828" s="210">
        <v>20</v>
      </c>
      <c r="S1828" s="205">
        <v>4110.1189999999997</v>
      </c>
      <c r="T1828" s="206" t="s">
        <v>1319</v>
      </c>
      <c r="U1828" s="211">
        <v>6000</v>
      </c>
      <c r="V1828" s="211">
        <v>800</v>
      </c>
      <c r="W1828" s="213">
        <v>3400</v>
      </c>
      <c r="X1828" s="213">
        <v>56.67</v>
      </c>
    </row>
    <row r="1829" spans="1:24" s="250" customFormat="1" ht="15" customHeight="1" thickTop="1">
      <c r="A1829" s="251"/>
      <c r="B1829" s="252"/>
      <c r="C1829" s="3"/>
      <c r="D1829" s="58"/>
      <c r="E1829" s="56"/>
      <c r="F1829" s="56"/>
      <c r="G1829" s="56"/>
      <c r="H1829" s="56"/>
      <c r="I1829" s="56"/>
      <c r="J1829" s="56"/>
      <c r="K1829" s="56"/>
      <c r="L1829" s="56"/>
      <c r="M1829" s="56"/>
      <c r="N1829" s="56"/>
      <c r="O1829" s="47"/>
      <c r="P1829" s="78"/>
      <c r="Q1829" s="202"/>
      <c r="R1829" s="210"/>
      <c r="S1829" s="205"/>
      <c r="T1829" s="206"/>
      <c r="U1829" s="211"/>
      <c r="V1829" s="211"/>
      <c r="W1829" s="213"/>
      <c r="X1829" s="213"/>
    </row>
    <row r="1830" spans="1:24" ht="15" customHeight="1">
      <c r="D1830" s="54" t="s">
        <v>2875</v>
      </c>
      <c r="E1830" s="54"/>
      <c r="F1830" s="192"/>
      <c r="G1830" s="55"/>
      <c r="H1830" s="55"/>
      <c r="I1830" s="55"/>
      <c r="J1830" s="55">
        <f>J1808+J1828</f>
        <v>1079306</v>
      </c>
      <c r="K1830" s="55">
        <f>+K1808+K1814-K1826</f>
        <v>1083594</v>
      </c>
      <c r="L1830" s="55"/>
      <c r="M1830" s="55">
        <f>+M1808+M1814-M1826</f>
        <v>1231185.5</v>
      </c>
      <c r="N1830" s="55">
        <f>+N1808+N1814-N1826</f>
        <v>1264732.0999999996</v>
      </c>
      <c r="O1830" s="278"/>
      <c r="P1830" s="203"/>
      <c r="Q1830" s="204"/>
      <c r="R1830" s="205"/>
      <c r="S1830" s="206"/>
      <c r="T1830" s="207"/>
      <c r="U1830" s="207"/>
      <c r="V1830" s="208"/>
      <c r="W1830" s="212"/>
    </row>
    <row r="1831" spans="1:24" s="46" customFormat="1" ht="15" customHeight="1">
      <c r="A1831" s="56"/>
      <c r="B1831" s="61"/>
      <c r="C1831" s="3"/>
      <c r="D1831" s="58"/>
      <c r="E1831" s="56"/>
      <c r="F1831" s="56"/>
      <c r="G1831" s="56"/>
      <c r="H1831" s="56"/>
      <c r="I1831" s="56"/>
      <c r="J1831" s="56"/>
      <c r="K1831" s="56"/>
      <c r="L1831" s="56"/>
      <c r="M1831" s="56"/>
      <c r="N1831" s="56"/>
      <c r="O1831" s="47"/>
      <c r="P1831" s="78"/>
      <c r="Q1831" s="202">
        <v>1659</v>
      </c>
      <c r="R1831" s="210">
        <v>20</v>
      </c>
      <c r="S1831" s="205">
        <v>4110.1210000000001</v>
      </c>
      <c r="T1831" s="206" t="s">
        <v>1320</v>
      </c>
      <c r="U1831" s="211">
        <v>120000</v>
      </c>
      <c r="V1831" s="211">
        <v>7735.53</v>
      </c>
      <c r="W1831" s="213">
        <v>66585.63</v>
      </c>
      <c r="X1831" s="213">
        <v>55.49</v>
      </c>
    </row>
    <row r="1832" spans="1:24" s="46" customFormat="1" ht="15" customHeight="1">
      <c r="A1832" s="56"/>
      <c r="B1832" s="61"/>
      <c r="C1832" s="3"/>
      <c r="D1832" s="47" t="s">
        <v>2331</v>
      </c>
      <c r="E1832" s="56"/>
      <c r="F1832" s="56"/>
      <c r="G1832" s="56"/>
      <c r="H1832" s="56"/>
      <c r="I1832" s="56"/>
      <c r="J1832" s="56"/>
      <c r="K1832" s="56"/>
      <c r="L1832" s="56"/>
      <c r="M1832" s="56"/>
      <c r="N1832" s="56"/>
      <c r="O1832" s="47"/>
      <c r="P1832" s="73"/>
      <c r="Q1832" s="202">
        <v>1660</v>
      </c>
      <c r="R1832" s="210">
        <v>20</v>
      </c>
      <c r="S1832" s="205">
        <v>4120</v>
      </c>
      <c r="T1832" s="206" t="s">
        <v>1321</v>
      </c>
      <c r="U1832" s="211">
        <v>0</v>
      </c>
      <c r="V1832" s="211">
        <v>0</v>
      </c>
      <c r="W1832" s="213">
        <v>0</v>
      </c>
      <c r="X1832" s="213">
        <v>0</v>
      </c>
    </row>
    <row r="1833" spans="1:24" s="46" customFormat="1" ht="15" customHeight="1">
      <c r="A1833" s="56"/>
      <c r="B1833" s="61"/>
      <c r="C1833" s="3"/>
      <c r="D1833" s="47"/>
      <c r="E1833" s="56"/>
      <c r="F1833" s="56"/>
      <c r="G1833" s="56"/>
      <c r="H1833" s="56"/>
      <c r="I1833" s="56"/>
      <c r="J1833" s="56"/>
      <c r="K1833" s="56"/>
      <c r="L1833" s="56"/>
      <c r="M1833" s="26"/>
      <c r="N1833" s="26"/>
      <c r="O1833" s="47"/>
      <c r="P1833" s="73"/>
      <c r="Q1833" s="202">
        <v>1661</v>
      </c>
      <c r="R1833" s="210">
        <v>20</v>
      </c>
      <c r="S1833" s="205">
        <v>4125</v>
      </c>
      <c r="T1833" s="206" t="s">
        <v>1322</v>
      </c>
      <c r="U1833" s="211">
        <v>66000</v>
      </c>
      <c r="V1833" s="211">
        <v>6148.29</v>
      </c>
      <c r="W1833" s="213">
        <v>42602.97</v>
      </c>
      <c r="X1833" s="213">
        <v>64.55</v>
      </c>
    </row>
    <row r="1834" spans="1:24" ht="15" customHeight="1">
      <c r="C1834" s="3">
        <v>20</v>
      </c>
      <c r="D1834" s="15">
        <v>4010.1010000000001</v>
      </c>
      <c r="E1834" s="312" t="s">
        <v>1314</v>
      </c>
      <c r="G1834" s="26">
        <v>1788</v>
      </c>
      <c r="H1834" s="26">
        <v>1370</v>
      </c>
      <c r="I1834" s="26">
        <v>1187</v>
      </c>
      <c r="J1834" s="26">
        <v>1605</v>
      </c>
      <c r="K1834" s="26">
        <v>2000</v>
      </c>
      <c r="L1834" s="26">
        <v>325</v>
      </c>
      <c r="M1834" s="26">
        <v>1500</v>
      </c>
      <c r="N1834" s="26">
        <v>1500</v>
      </c>
      <c r="P1834" s="73"/>
      <c r="Q1834" s="202">
        <v>1662</v>
      </c>
      <c r="R1834" s="210">
        <v>20</v>
      </c>
      <c r="S1834" s="205">
        <v>4130.9399999999996</v>
      </c>
      <c r="T1834" s="206" t="s">
        <v>1323</v>
      </c>
      <c r="U1834" s="211">
        <v>0</v>
      </c>
      <c r="V1834" s="211">
        <v>0</v>
      </c>
      <c r="W1834" s="213">
        <v>0</v>
      </c>
      <c r="X1834" s="213">
        <v>0</v>
      </c>
    </row>
    <row r="1835" spans="1:24" ht="15" customHeight="1">
      <c r="C1835" s="3">
        <v>20</v>
      </c>
      <c r="D1835" s="15">
        <v>4010.1030000000001</v>
      </c>
      <c r="E1835" s="312" t="s">
        <v>1315</v>
      </c>
      <c r="G1835" s="26">
        <v>0</v>
      </c>
      <c r="H1835" s="26">
        <v>0</v>
      </c>
      <c r="I1835" s="26">
        <v>0</v>
      </c>
      <c r="J1835" s="26">
        <v>0</v>
      </c>
      <c r="K1835" s="26">
        <v>0</v>
      </c>
      <c r="L1835" s="26">
        <v>0</v>
      </c>
      <c r="M1835" s="26">
        <v>0</v>
      </c>
      <c r="N1835" s="26">
        <v>0</v>
      </c>
      <c r="P1835" s="73"/>
      <c r="Q1835" s="202">
        <v>1663</v>
      </c>
      <c r="R1835" s="210">
        <v>20</v>
      </c>
      <c r="S1835" s="205">
        <v>4210</v>
      </c>
      <c r="T1835" s="206" t="s">
        <v>45</v>
      </c>
      <c r="U1835" s="211">
        <v>23000</v>
      </c>
      <c r="V1835" s="211">
        <v>1200</v>
      </c>
      <c r="W1835" s="213">
        <v>22102.400000000001</v>
      </c>
      <c r="X1835" s="213">
        <v>96.1</v>
      </c>
    </row>
    <row r="1836" spans="1:24" ht="15" customHeight="1">
      <c r="C1836" s="3">
        <v>20</v>
      </c>
      <c r="D1836" s="15">
        <v>4110.1109999999999</v>
      </c>
      <c r="E1836" s="312" t="s">
        <v>1316</v>
      </c>
      <c r="G1836" s="26">
        <v>2548120</v>
      </c>
      <c r="H1836" s="26">
        <v>2577823</v>
      </c>
      <c r="I1836" s="26">
        <v>2612844</v>
      </c>
      <c r="J1836" s="26">
        <v>2904418</v>
      </c>
      <c r="K1836" s="26">
        <v>2969728</v>
      </c>
      <c r="L1836" s="26">
        <v>1515688</v>
      </c>
      <c r="M1836" s="26">
        <v>2950000</v>
      </c>
      <c r="N1836" s="26">
        <v>3165198</v>
      </c>
      <c r="O1836" s="342" t="s">
        <v>3071</v>
      </c>
      <c r="P1836" s="73"/>
      <c r="Q1836" s="202">
        <v>1664</v>
      </c>
      <c r="R1836" s="210">
        <v>20</v>
      </c>
      <c r="S1836" s="205">
        <v>4250</v>
      </c>
      <c r="T1836" s="206" t="s">
        <v>49</v>
      </c>
      <c r="U1836" s="211">
        <v>100</v>
      </c>
      <c r="V1836" s="211">
        <v>0</v>
      </c>
      <c r="W1836" s="213">
        <v>28</v>
      </c>
      <c r="X1836" s="213">
        <v>28</v>
      </c>
    </row>
    <row r="1837" spans="1:24" ht="15" customHeight="1">
      <c r="C1837" s="3">
        <v>20</v>
      </c>
      <c r="D1837" s="15">
        <v>4110.1130000000003</v>
      </c>
      <c r="E1837" s="312" t="s">
        <v>1317</v>
      </c>
      <c r="G1837" s="26">
        <v>1463060</v>
      </c>
      <c r="H1837" s="26">
        <v>1493552</v>
      </c>
      <c r="I1837" s="26">
        <v>1554720</v>
      </c>
      <c r="J1837" s="26">
        <v>1606187</v>
      </c>
      <c r="K1837" s="26">
        <v>1678530</v>
      </c>
      <c r="L1837" s="26">
        <v>983041</v>
      </c>
      <c r="M1837" s="26">
        <v>1680000</v>
      </c>
      <c r="N1837" s="26">
        <v>1792527</v>
      </c>
      <c r="O1837" s="342" t="s">
        <v>3071</v>
      </c>
      <c r="P1837" s="73"/>
      <c r="Q1837" s="202">
        <v>1665</v>
      </c>
      <c r="R1837" s="210">
        <v>20</v>
      </c>
      <c r="S1837" s="205">
        <v>4330</v>
      </c>
      <c r="T1837" s="206" t="s">
        <v>1324</v>
      </c>
      <c r="U1837" s="211">
        <v>13000</v>
      </c>
      <c r="V1837" s="211">
        <v>426.95</v>
      </c>
      <c r="W1837" s="213">
        <v>3706.8</v>
      </c>
      <c r="X1837" s="213">
        <v>28.51</v>
      </c>
    </row>
    <row r="1838" spans="1:24" ht="15" customHeight="1">
      <c r="C1838" s="3">
        <v>20</v>
      </c>
      <c r="D1838" s="15">
        <v>4110.1149999999998</v>
      </c>
      <c r="E1838" s="312" t="s">
        <v>1318</v>
      </c>
      <c r="G1838" s="26">
        <v>1241479</v>
      </c>
      <c r="H1838" s="26">
        <v>1242421</v>
      </c>
      <c r="I1838" s="26">
        <v>1197969</v>
      </c>
      <c r="J1838" s="26">
        <v>1253574</v>
      </c>
      <c r="K1838" s="26">
        <v>1459285</v>
      </c>
      <c r="L1838" s="26">
        <v>806367</v>
      </c>
      <c r="M1838" s="26">
        <v>1350000</v>
      </c>
      <c r="N1838" s="26">
        <v>1425000</v>
      </c>
      <c r="O1838" s="294" t="s">
        <v>3070</v>
      </c>
      <c r="P1838" s="73"/>
      <c r="Q1838" s="202">
        <v>1666</v>
      </c>
      <c r="R1838" s="210">
        <v>20</v>
      </c>
      <c r="S1838" s="205">
        <v>4330.1030000000001</v>
      </c>
      <c r="T1838" s="206" t="s">
        <v>1325</v>
      </c>
      <c r="U1838" s="211">
        <v>1500</v>
      </c>
      <c r="V1838" s="211">
        <v>127.69</v>
      </c>
      <c r="W1838" s="213">
        <v>1000.49</v>
      </c>
      <c r="X1838" s="213">
        <v>66.7</v>
      </c>
    </row>
    <row r="1839" spans="1:24" ht="15" customHeight="1">
      <c r="C1839" s="3">
        <v>20</v>
      </c>
      <c r="D1839" s="15">
        <v>4110.1189999999997</v>
      </c>
      <c r="E1839" s="312" t="s">
        <v>1319</v>
      </c>
      <c r="G1839" s="26">
        <v>5050</v>
      </c>
      <c r="H1839" s="26">
        <v>4925</v>
      </c>
      <c r="I1839" s="26">
        <v>3575</v>
      </c>
      <c r="J1839" s="26">
        <v>4775</v>
      </c>
      <c r="K1839" s="26">
        <v>6000</v>
      </c>
      <c r="L1839" s="26">
        <v>2600</v>
      </c>
      <c r="M1839" s="26">
        <v>4000</v>
      </c>
      <c r="N1839" s="26">
        <v>5000</v>
      </c>
      <c r="P1839" s="73"/>
      <c r="Q1839" s="202">
        <v>1667</v>
      </c>
      <c r="R1839" s="210">
        <v>20</v>
      </c>
      <c r="S1839" s="205">
        <v>4330.9399999999996</v>
      </c>
      <c r="T1839" s="206" t="s">
        <v>1326</v>
      </c>
      <c r="U1839" s="211">
        <v>0</v>
      </c>
      <c r="V1839" s="211">
        <v>0</v>
      </c>
      <c r="W1839" s="213">
        <v>0</v>
      </c>
      <c r="X1839" s="213">
        <v>0</v>
      </c>
    </row>
    <row r="1840" spans="1:24" ht="15" customHeight="1">
      <c r="C1840" s="3">
        <v>20</v>
      </c>
      <c r="D1840" s="15">
        <v>4110.1210000000001</v>
      </c>
      <c r="E1840" s="312" t="s">
        <v>1320</v>
      </c>
      <c r="G1840" s="26">
        <v>97422</v>
      </c>
      <c r="H1840" s="26">
        <v>97826</v>
      </c>
      <c r="I1840" s="26">
        <v>100152</v>
      </c>
      <c r="J1840" s="26">
        <v>106986</v>
      </c>
      <c r="K1840" s="26">
        <v>120000</v>
      </c>
      <c r="L1840" s="26">
        <v>58850</v>
      </c>
      <c r="M1840" s="26">
        <v>115000</v>
      </c>
      <c r="N1840" s="26">
        <v>115000</v>
      </c>
      <c r="P1840" s="73"/>
      <c r="Q1840" s="202">
        <v>1668</v>
      </c>
      <c r="R1840" s="210">
        <v>20</v>
      </c>
      <c r="S1840" s="205">
        <v>4370</v>
      </c>
      <c r="T1840" s="206" t="s">
        <v>59</v>
      </c>
      <c r="U1840" s="211">
        <v>1000</v>
      </c>
      <c r="V1840" s="211">
        <v>0</v>
      </c>
      <c r="W1840" s="213">
        <v>9121.9</v>
      </c>
      <c r="X1840" s="213">
        <v>912.19</v>
      </c>
    </row>
    <row r="1841" spans="3:24" ht="15" customHeight="1">
      <c r="C1841" s="3">
        <v>20</v>
      </c>
      <c r="D1841" s="15">
        <v>4120</v>
      </c>
      <c r="E1841" s="312" t="s">
        <v>1321</v>
      </c>
      <c r="G1841" s="26">
        <v>0</v>
      </c>
      <c r="H1841" s="26">
        <v>0</v>
      </c>
      <c r="I1841" s="26">
        <v>0</v>
      </c>
      <c r="J1841" s="26">
        <v>0</v>
      </c>
      <c r="K1841" s="26">
        <v>0</v>
      </c>
      <c r="L1841" s="26">
        <v>0</v>
      </c>
      <c r="M1841" s="26">
        <v>0</v>
      </c>
      <c r="N1841" s="26">
        <v>0</v>
      </c>
      <c r="P1841" s="78"/>
      <c r="Q1841" s="202">
        <v>1669</v>
      </c>
      <c r="R1841" s="210">
        <v>20</v>
      </c>
      <c r="S1841" s="205">
        <v>4630</v>
      </c>
      <c r="T1841" s="206" t="s">
        <v>1327</v>
      </c>
      <c r="U1841" s="211">
        <v>0</v>
      </c>
      <c r="V1841" s="211">
        <v>0</v>
      </c>
      <c r="W1841" s="213">
        <v>0</v>
      </c>
      <c r="X1841" s="213">
        <v>0</v>
      </c>
    </row>
    <row r="1842" spans="3:24" ht="15" customHeight="1">
      <c r="C1842" s="3">
        <v>20</v>
      </c>
      <c r="D1842" s="15">
        <v>4125</v>
      </c>
      <c r="E1842" s="312" t="s">
        <v>1322</v>
      </c>
      <c r="G1842" s="26">
        <v>0</v>
      </c>
      <c r="H1842" s="26">
        <v>66118</v>
      </c>
      <c r="I1842" s="26">
        <v>67530</v>
      </c>
      <c r="J1842" s="26">
        <v>70841</v>
      </c>
      <c r="K1842" s="26">
        <v>66000</v>
      </c>
      <c r="L1842" s="26">
        <v>36455</v>
      </c>
      <c r="M1842" s="26">
        <v>66000</v>
      </c>
      <c r="N1842" s="26">
        <v>66000</v>
      </c>
      <c r="P1842" s="85"/>
      <c r="Q1842" s="202">
        <v>1670</v>
      </c>
      <c r="R1842" s="210">
        <v>20</v>
      </c>
      <c r="S1842" s="205">
        <v>4890</v>
      </c>
      <c r="T1842" s="206" t="s">
        <v>66</v>
      </c>
      <c r="U1842" s="211">
        <v>8000</v>
      </c>
      <c r="V1842" s="211">
        <v>495</v>
      </c>
      <c r="W1842" s="213">
        <v>4034.68</v>
      </c>
      <c r="X1842" s="213">
        <v>50.43</v>
      </c>
    </row>
    <row r="1843" spans="3:24" ht="15" customHeight="1">
      <c r="C1843" s="3">
        <v>20</v>
      </c>
      <c r="D1843" s="15">
        <v>4130.9399999999996</v>
      </c>
      <c r="E1843" s="312" t="s">
        <v>1323</v>
      </c>
      <c r="G1843" s="26">
        <v>6720</v>
      </c>
      <c r="H1843" s="26">
        <v>0</v>
      </c>
      <c r="I1843" s="26">
        <v>0</v>
      </c>
      <c r="J1843" s="26">
        <v>0</v>
      </c>
      <c r="K1843" s="26">
        <v>0</v>
      </c>
      <c r="L1843" s="26">
        <v>0</v>
      </c>
      <c r="M1843" s="26">
        <v>0</v>
      </c>
      <c r="N1843" s="26">
        <v>0</v>
      </c>
      <c r="P1843" s="83"/>
      <c r="Q1843" s="202">
        <v>1671</v>
      </c>
      <c r="R1843" s="210">
        <v>20</v>
      </c>
      <c r="S1843" s="205">
        <v>4890.1890000000003</v>
      </c>
      <c r="T1843" s="206" t="s">
        <v>1884</v>
      </c>
      <c r="U1843" s="211">
        <v>5000</v>
      </c>
      <c r="V1843" s="211">
        <v>0</v>
      </c>
      <c r="W1843" s="213">
        <v>0</v>
      </c>
      <c r="X1843" s="213">
        <v>0</v>
      </c>
    </row>
    <row r="1844" spans="3:24" ht="15" customHeight="1">
      <c r="C1844" s="3">
        <v>20</v>
      </c>
      <c r="D1844" s="15">
        <v>4210</v>
      </c>
      <c r="E1844" s="312" t="s">
        <v>45</v>
      </c>
      <c r="G1844" s="26">
        <v>19008</v>
      </c>
      <c r="H1844" s="26">
        <v>15552</v>
      </c>
      <c r="I1844" s="26">
        <v>15251</v>
      </c>
      <c r="J1844" s="26">
        <v>24502</v>
      </c>
      <c r="K1844" s="26">
        <v>23000</v>
      </c>
      <c r="L1844" s="26">
        <v>20902</v>
      </c>
      <c r="M1844" s="26">
        <v>24000</v>
      </c>
      <c r="N1844" s="26">
        <v>24000</v>
      </c>
      <c r="P1844" s="78"/>
      <c r="Q1844" s="202">
        <v>1672</v>
      </c>
      <c r="R1844" s="210">
        <v>20</v>
      </c>
      <c r="S1844" s="205">
        <v>4890.1989999999996</v>
      </c>
      <c r="T1844" s="206" t="s">
        <v>1328</v>
      </c>
      <c r="U1844" s="211">
        <v>0</v>
      </c>
      <c r="V1844" s="211">
        <v>-20</v>
      </c>
      <c r="W1844" s="213">
        <v>-252</v>
      </c>
      <c r="X1844" s="213">
        <v>0</v>
      </c>
    </row>
    <row r="1845" spans="3:24" ht="15" customHeight="1">
      <c r="C1845" s="3">
        <v>20</v>
      </c>
      <c r="D1845" s="15">
        <v>4250</v>
      </c>
      <c r="E1845" s="312" t="s">
        <v>49</v>
      </c>
      <c r="G1845" s="26">
        <v>46</v>
      </c>
      <c r="H1845" s="26">
        <v>295</v>
      </c>
      <c r="I1845" s="26">
        <v>40</v>
      </c>
      <c r="J1845" s="26">
        <v>15</v>
      </c>
      <c r="K1845" s="26">
        <v>100</v>
      </c>
      <c r="L1845" s="26">
        <v>28</v>
      </c>
      <c r="M1845" s="26">
        <v>100</v>
      </c>
      <c r="N1845" s="26">
        <v>100</v>
      </c>
      <c r="P1845" s="78"/>
      <c r="Q1845" s="202">
        <v>1673</v>
      </c>
      <c r="R1845" s="210">
        <v>20</v>
      </c>
      <c r="S1845" s="205">
        <v>4990.1000000000004</v>
      </c>
      <c r="T1845" s="206" t="s">
        <v>71</v>
      </c>
      <c r="U1845" s="211">
        <v>0</v>
      </c>
      <c r="V1845" s="211">
        <v>0</v>
      </c>
      <c r="W1845" s="213">
        <v>0</v>
      </c>
      <c r="X1845" s="213">
        <v>0</v>
      </c>
    </row>
    <row r="1846" spans="3:24" ht="15" customHeight="1">
      <c r="C1846" s="3">
        <v>20</v>
      </c>
      <c r="D1846" s="15">
        <v>4330</v>
      </c>
      <c r="E1846" s="312" t="s">
        <v>1324</v>
      </c>
      <c r="G1846" s="26">
        <v>59295</v>
      </c>
      <c r="H1846" s="26">
        <v>49357</v>
      </c>
      <c r="I1846" s="26">
        <v>28232</v>
      </c>
      <c r="J1846" s="26">
        <v>9211</v>
      </c>
      <c r="K1846" s="26">
        <v>13000</v>
      </c>
      <c r="L1846" s="26">
        <v>3280</v>
      </c>
      <c r="M1846" s="26">
        <v>5000</v>
      </c>
      <c r="N1846" s="26">
        <v>5000</v>
      </c>
      <c r="P1846" s="73"/>
      <c r="Q1846" s="202">
        <v>1674</v>
      </c>
      <c r="R1846" s="210">
        <v>20</v>
      </c>
      <c r="S1846" s="205">
        <v>4990.2</v>
      </c>
      <c r="T1846" s="206" t="s">
        <v>1329</v>
      </c>
      <c r="U1846" s="211">
        <v>0</v>
      </c>
      <c r="V1846" s="211">
        <v>0</v>
      </c>
      <c r="W1846" s="213">
        <v>0</v>
      </c>
      <c r="X1846" s="213">
        <v>0</v>
      </c>
    </row>
    <row r="1847" spans="3:24" ht="15" customHeight="1">
      <c r="C1847" s="3">
        <v>20</v>
      </c>
      <c r="D1847" s="15">
        <v>4330.1030000000001</v>
      </c>
      <c r="E1847" s="312" t="s">
        <v>1325</v>
      </c>
      <c r="G1847" s="26">
        <v>4184</v>
      </c>
      <c r="H1847" s="26">
        <v>3548</v>
      </c>
      <c r="I1847" s="26">
        <v>3638</v>
      </c>
      <c r="J1847" s="26">
        <v>1483</v>
      </c>
      <c r="K1847" s="26">
        <v>1500</v>
      </c>
      <c r="L1847" s="26">
        <v>873</v>
      </c>
      <c r="M1847" s="26">
        <v>2000</v>
      </c>
      <c r="N1847" s="26">
        <v>2000</v>
      </c>
      <c r="P1847" s="73"/>
      <c r="Q1847" s="202">
        <v>1675</v>
      </c>
      <c r="R1847" s="210">
        <v>20</v>
      </c>
      <c r="S1847" s="205">
        <v>4990.3</v>
      </c>
      <c r="T1847" s="206" t="s">
        <v>73</v>
      </c>
      <c r="U1847" s="211">
        <v>0</v>
      </c>
      <c r="V1847" s="211">
        <v>0</v>
      </c>
      <c r="W1847" s="213">
        <v>0</v>
      </c>
      <c r="X1847" s="213">
        <v>0</v>
      </c>
    </row>
    <row r="1848" spans="3:24" ht="15" customHeight="1">
      <c r="C1848" s="3">
        <v>20</v>
      </c>
      <c r="D1848" s="15">
        <v>4330.9399999999996</v>
      </c>
      <c r="E1848" s="312" t="s">
        <v>1326</v>
      </c>
      <c r="G1848" s="26">
        <v>0</v>
      </c>
      <c r="H1848" s="26">
        <v>0</v>
      </c>
      <c r="I1848" s="26">
        <v>0</v>
      </c>
      <c r="J1848" s="26">
        <v>0</v>
      </c>
      <c r="K1848" s="26">
        <v>0</v>
      </c>
      <c r="L1848" s="26">
        <v>0</v>
      </c>
      <c r="M1848" s="26">
        <v>0</v>
      </c>
      <c r="N1848" s="26">
        <v>0</v>
      </c>
      <c r="P1848" s="73"/>
      <c r="Q1848" s="202">
        <v>1676</v>
      </c>
      <c r="R1848" s="210">
        <v>20</v>
      </c>
      <c r="S1848" s="205">
        <v>4990.3999999999996</v>
      </c>
      <c r="T1848" s="206" t="s">
        <v>74</v>
      </c>
      <c r="U1848" s="211">
        <v>0</v>
      </c>
      <c r="V1848" s="211">
        <v>0</v>
      </c>
      <c r="W1848" s="213">
        <v>0</v>
      </c>
      <c r="X1848" s="213">
        <v>0</v>
      </c>
    </row>
    <row r="1849" spans="3:24" ht="15" customHeight="1">
      <c r="C1849" s="3">
        <v>20</v>
      </c>
      <c r="D1849" s="15">
        <v>4370</v>
      </c>
      <c r="E1849" s="312" t="s">
        <v>59</v>
      </c>
      <c r="G1849" s="26">
        <v>417</v>
      </c>
      <c r="H1849" s="26">
        <v>262</v>
      </c>
      <c r="I1849" s="26">
        <v>0</v>
      </c>
      <c r="J1849" s="26">
        <v>1738</v>
      </c>
      <c r="K1849" s="26">
        <v>1000</v>
      </c>
      <c r="L1849" s="26">
        <v>9122</v>
      </c>
      <c r="M1849" s="26">
        <v>10000</v>
      </c>
      <c r="N1849" s="26">
        <v>8000</v>
      </c>
      <c r="P1849" s="73"/>
      <c r="Q1849" s="202">
        <v>1677</v>
      </c>
      <c r="R1849" s="210">
        <v>20</v>
      </c>
      <c r="S1849" s="205">
        <v>4990.5</v>
      </c>
      <c r="T1849" s="206" t="s">
        <v>75</v>
      </c>
      <c r="U1849" s="211">
        <v>0</v>
      </c>
      <c r="V1849" s="211">
        <v>0</v>
      </c>
      <c r="W1849" s="213">
        <v>0</v>
      </c>
      <c r="X1849" s="213">
        <v>0</v>
      </c>
    </row>
    <row r="1850" spans="3:24" ht="15" customHeight="1">
      <c r="C1850" s="3">
        <v>20</v>
      </c>
      <c r="D1850" s="15">
        <v>4630</v>
      </c>
      <c r="E1850" s="312" t="s">
        <v>1327</v>
      </c>
      <c r="G1850" s="26">
        <v>0</v>
      </c>
      <c r="H1850" s="26">
        <v>0</v>
      </c>
      <c r="I1850" s="26">
        <v>0</v>
      </c>
      <c r="J1850" s="26">
        <v>0</v>
      </c>
      <c r="K1850" s="26">
        <v>0</v>
      </c>
      <c r="L1850" s="26">
        <v>0</v>
      </c>
      <c r="M1850" s="26">
        <v>0</v>
      </c>
      <c r="N1850" s="26">
        <v>0</v>
      </c>
      <c r="P1850" s="73"/>
      <c r="Q1850" s="202">
        <v>1678</v>
      </c>
      <c r="R1850" s="210">
        <v>20</v>
      </c>
      <c r="S1850" s="205" t="s">
        <v>2620</v>
      </c>
      <c r="T1850" s="206"/>
      <c r="U1850" s="211">
        <v>6353143</v>
      </c>
      <c r="V1850" s="211">
        <v>515121.29</v>
      </c>
      <c r="W1850" s="213">
        <v>3955960.04</v>
      </c>
      <c r="X1850" s="213">
        <v>62.27</v>
      </c>
    </row>
    <row r="1851" spans="3:24" ht="15" customHeight="1">
      <c r="C1851" s="3">
        <v>20</v>
      </c>
      <c r="D1851" s="15">
        <v>4890</v>
      </c>
      <c r="E1851" s="312" t="s">
        <v>66</v>
      </c>
      <c r="G1851" s="26">
        <v>8014</v>
      </c>
      <c r="H1851" s="26">
        <v>9189</v>
      </c>
      <c r="I1851" s="26">
        <v>9546</v>
      </c>
      <c r="J1851" s="26">
        <v>9127</v>
      </c>
      <c r="K1851" s="26">
        <v>8000</v>
      </c>
      <c r="L1851" s="26">
        <v>3540</v>
      </c>
      <c r="M1851" s="26">
        <v>5000</v>
      </c>
      <c r="N1851" s="26">
        <v>5000</v>
      </c>
      <c r="P1851" s="73"/>
      <c r="Q1851" s="202">
        <v>1679</v>
      </c>
      <c r="R1851" s="210">
        <v>20</v>
      </c>
      <c r="S1851" s="205" t="s">
        <v>2621</v>
      </c>
      <c r="T1851" s="206"/>
      <c r="U1851" s="211"/>
      <c r="V1851" s="211"/>
      <c r="W1851" s="213"/>
      <c r="X1851" s="213"/>
    </row>
    <row r="1852" spans="3:24" ht="15" customHeight="1">
      <c r="C1852" s="3">
        <v>20</v>
      </c>
      <c r="D1852" s="15">
        <v>4890.1890000000003</v>
      </c>
      <c r="E1852" s="312" t="s">
        <v>1884</v>
      </c>
      <c r="G1852" s="26">
        <v>25950</v>
      </c>
      <c r="H1852" s="26">
        <v>0</v>
      </c>
      <c r="I1852" s="26">
        <v>0</v>
      </c>
      <c r="J1852" s="26">
        <v>0</v>
      </c>
      <c r="K1852" s="26">
        <v>5000</v>
      </c>
      <c r="L1852" s="26">
        <v>0</v>
      </c>
      <c r="M1852" s="26">
        <v>0</v>
      </c>
      <c r="N1852" s="26">
        <v>0</v>
      </c>
      <c r="P1852" s="73"/>
      <c r="Q1852" s="202">
        <v>1680</v>
      </c>
      <c r="R1852" s="210">
        <v>20</v>
      </c>
      <c r="S1852" s="205" t="s">
        <v>2622</v>
      </c>
      <c r="T1852" s="206"/>
      <c r="U1852" s="211"/>
      <c r="V1852" s="211"/>
      <c r="W1852" s="213"/>
      <c r="X1852" s="213"/>
    </row>
    <row r="1853" spans="3:24" ht="15" customHeight="1">
      <c r="C1853" s="3">
        <v>20</v>
      </c>
      <c r="D1853" s="15">
        <v>4890.1989999999996</v>
      </c>
      <c r="E1853" s="312" t="s">
        <v>1328</v>
      </c>
      <c r="G1853" s="26">
        <v>91</v>
      </c>
      <c r="H1853" s="26">
        <v>-281</v>
      </c>
      <c r="I1853" s="26">
        <v>-212</v>
      </c>
      <c r="J1853" s="26">
        <v>-256</v>
      </c>
      <c r="K1853" s="26">
        <v>0</v>
      </c>
      <c r="L1853" s="26">
        <v>-232</v>
      </c>
      <c r="M1853" s="26">
        <v>-232</v>
      </c>
      <c r="N1853" s="26">
        <v>0</v>
      </c>
      <c r="P1853" s="73"/>
      <c r="Q1853" s="202">
        <v>1681</v>
      </c>
      <c r="R1853" s="210">
        <v>20</v>
      </c>
      <c r="S1853" s="205" t="s">
        <v>1330</v>
      </c>
      <c r="T1853" s="206" t="s">
        <v>79</v>
      </c>
      <c r="U1853" s="211">
        <v>86401</v>
      </c>
      <c r="V1853" s="211">
        <v>6960</v>
      </c>
      <c r="W1853" s="213">
        <v>56133.54</v>
      </c>
      <c r="X1853" s="213">
        <v>64.97</v>
      </c>
    </row>
    <row r="1854" spans="3:24" ht="15" customHeight="1">
      <c r="C1854" s="3">
        <v>20</v>
      </c>
      <c r="D1854" s="314">
        <v>4990.1000000000004</v>
      </c>
      <c r="E1854" s="312" t="s">
        <v>71</v>
      </c>
      <c r="G1854" s="26">
        <v>42</v>
      </c>
      <c r="H1854" s="26">
        <v>0</v>
      </c>
      <c r="I1854" s="26">
        <v>0</v>
      </c>
      <c r="J1854" s="26">
        <v>25</v>
      </c>
      <c r="K1854" s="26">
        <v>0</v>
      </c>
      <c r="L1854" s="26">
        <v>0</v>
      </c>
      <c r="M1854" s="26">
        <v>0</v>
      </c>
      <c r="N1854" s="26">
        <v>0</v>
      </c>
      <c r="P1854" s="74"/>
      <c r="Q1854" s="202">
        <v>1682</v>
      </c>
      <c r="R1854" s="210">
        <v>20</v>
      </c>
      <c r="S1854" s="205" t="s">
        <v>1331</v>
      </c>
      <c r="T1854" s="206" t="s">
        <v>81</v>
      </c>
      <c r="U1854" s="211">
        <v>19977</v>
      </c>
      <c r="V1854" s="211">
        <v>1664.76</v>
      </c>
      <c r="W1854" s="213">
        <v>13318.08</v>
      </c>
      <c r="X1854" s="213">
        <v>66.67</v>
      </c>
    </row>
    <row r="1855" spans="3:24" ht="15" customHeight="1">
      <c r="C1855" s="3">
        <v>20</v>
      </c>
      <c r="D1855" s="314">
        <v>4990.2</v>
      </c>
      <c r="E1855" s="312" t="s">
        <v>1329</v>
      </c>
      <c r="G1855" s="26">
        <v>0</v>
      </c>
      <c r="H1855" s="26">
        <v>0</v>
      </c>
      <c r="I1855" s="26">
        <v>0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P1855" s="86"/>
      <c r="Q1855" s="202">
        <v>1683</v>
      </c>
      <c r="R1855" s="210">
        <v>20</v>
      </c>
      <c r="S1855" s="205" t="s">
        <v>1332</v>
      </c>
      <c r="T1855" s="206" t="s">
        <v>83</v>
      </c>
      <c r="U1855" s="211">
        <v>0</v>
      </c>
      <c r="V1855" s="211">
        <v>0</v>
      </c>
      <c r="W1855" s="213">
        <v>0</v>
      </c>
      <c r="X1855" s="213">
        <v>0</v>
      </c>
    </row>
    <row r="1856" spans="3:24" ht="15" customHeight="1">
      <c r="C1856" s="3">
        <v>20</v>
      </c>
      <c r="D1856" s="314">
        <v>4990.3</v>
      </c>
      <c r="E1856" s="312" t="s">
        <v>73</v>
      </c>
      <c r="G1856" s="26">
        <v>0</v>
      </c>
      <c r="H1856" s="26">
        <v>217</v>
      </c>
      <c r="I1856" s="26">
        <v>0</v>
      </c>
      <c r="J1856" s="26">
        <v>10</v>
      </c>
      <c r="K1856" s="26">
        <v>0</v>
      </c>
      <c r="L1856" s="26">
        <v>0</v>
      </c>
      <c r="M1856" s="26">
        <v>0</v>
      </c>
      <c r="N1856" s="26">
        <v>0</v>
      </c>
      <c r="P1856" s="78"/>
      <c r="Q1856" s="202">
        <v>1684</v>
      </c>
      <c r="R1856" s="210">
        <v>20</v>
      </c>
      <c r="S1856" s="205" t="s">
        <v>1333</v>
      </c>
      <c r="T1856" s="206" t="s">
        <v>85</v>
      </c>
      <c r="U1856" s="211">
        <v>605</v>
      </c>
      <c r="V1856" s="211">
        <v>0</v>
      </c>
      <c r="W1856" s="213">
        <v>629.61</v>
      </c>
      <c r="X1856" s="213">
        <v>104.07</v>
      </c>
    </row>
    <row r="1857" spans="2:24" ht="15" customHeight="1" thickBot="1">
      <c r="C1857" s="3">
        <v>20</v>
      </c>
      <c r="D1857" s="314">
        <v>4990.3999999999996</v>
      </c>
      <c r="E1857" s="312" t="s">
        <v>74</v>
      </c>
      <c r="G1857" s="26">
        <v>0</v>
      </c>
      <c r="H1857" s="26">
        <v>0</v>
      </c>
      <c r="I1857" s="26">
        <v>0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P1857" s="82"/>
      <c r="Q1857" s="202">
        <v>1685</v>
      </c>
      <c r="R1857" s="210">
        <v>20</v>
      </c>
      <c r="S1857" s="205" t="s">
        <v>1334</v>
      </c>
      <c r="T1857" s="206" t="s">
        <v>87</v>
      </c>
      <c r="U1857" s="211">
        <v>6627</v>
      </c>
      <c r="V1857" s="211">
        <v>542.94000000000005</v>
      </c>
      <c r="W1857" s="213">
        <v>4445.12</v>
      </c>
      <c r="X1857" s="213">
        <v>67.08</v>
      </c>
    </row>
    <row r="1858" spans="2:24" ht="15" customHeight="1" thickTop="1">
      <c r="C1858" s="3">
        <v>20</v>
      </c>
      <c r="D1858" s="314">
        <v>4990.5</v>
      </c>
      <c r="E1858" s="312" t="s">
        <v>75</v>
      </c>
      <c r="G1858" s="26">
        <v>-6720</v>
      </c>
      <c r="H1858" s="26">
        <v>0</v>
      </c>
      <c r="I1858" s="26">
        <v>0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P1858" s="78"/>
      <c r="Q1858" s="202">
        <v>1686</v>
      </c>
      <c r="R1858" s="210">
        <v>20</v>
      </c>
      <c r="S1858" s="205" t="s">
        <v>1335</v>
      </c>
      <c r="T1858" s="206" t="s">
        <v>89</v>
      </c>
      <c r="U1858" s="211">
        <v>13876</v>
      </c>
      <c r="V1858" s="211">
        <v>1164.08</v>
      </c>
      <c r="W1858" s="213">
        <v>9546.9599999999991</v>
      </c>
      <c r="X1858" s="213">
        <v>68.8</v>
      </c>
    </row>
    <row r="1859" spans="2:24" ht="15" customHeight="1">
      <c r="E1859" s="14"/>
      <c r="G1859" s="26"/>
      <c r="H1859" s="26"/>
      <c r="I1859" s="26"/>
      <c r="J1859" s="26"/>
      <c r="K1859" s="26"/>
      <c r="L1859" s="26"/>
      <c r="M1859" s="26"/>
      <c r="N1859" s="26"/>
      <c r="P1859" s="78"/>
      <c r="Q1859" s="202">
        <v>1687</v>
      </c>
      <c r="R1859" s="210">
        <v>20</v>
      </c>
      <c r="S1859" s="205" t="s">
        <v>1336</v>
      </c>
      <c r="T1859" s="206" t="s">
        <v>2554</v>
      </c>
      <c r="U1859" s="211">
        <v>0</v>
      </c>
      <c r="V1859" s="211">
        <v>0</v>
      </c>
      <c r="W1859" s="213">
        <v>0</v>
      </c>
      <c r="X1859" s="213">
        <v>0</v>
      </c>
    </row>
    <row r="1860" spans="2:24" s="27" customFormat="1" ht="15" customHeight="1" thickBot="1">
      <c r="B1860" s="9" t="s">
        <v>2317</v>
      </c>
      <c r="C1860" s="3"/>
      <c r="D1860" s="68" t="s">
        <v>2293</v>
      </c>
      <c r="E1860" s="68"/>
      <c r="F1860" s="320"/>
      <c r="G1860" s="69">
        <f>SUM(G1832:G1858)</f>
        <v>5473966</v>
      </c>
      <c r="H1860" s="69">
        <f t="shared" ref="H1860:N1860" si="159">SUM(H1832:H1858)</f>
        <v>5562174</v>
      </c>
      <c r="I1860" s="69">
        <f t="shared" si="159"/>
        <v>5594472</v>
      </c>
      <c r="J1860" s="69">
        <f t="shared" si="159"/>
        <v>5994241</v>
      </c>
      <c r="K1860" s="69">
        <f t="shared" si="159"/>
        <v>6353143</v>
      </c>
      <c r="L1860" s="69">
        <f t="shared" si="159"/>
        <v>3440839</v>
      </c>
      <c r="M1860" s="69">
        <f t="shared" si="159"/>
        <v>6212368</v>
      </c>
      <c r="N1860" s="69">
        <f t="shared" si="159"/>
        <v>6614325</v>
      </c>
      <c r="O1860" s="28"/>
      <c r="P1860" s="78"/>
      <c r="Q1860" s="202">
        <v>1688</v>
      </c>
      <c r="R1860" s="210">
        <v>20</v>
      </c>
      <c r="S1860" s="205" t="s">
        <v>1337</v>
      </c>
      <c r="T1860" s="206" t="s">
        <v>91</v>
      </c>
      <c r="U1860" s="211">
        <v>1000</v>
      </c>
      <c r="V1860" s="211">
        <v>0</v>
      </c>
      <c r="W1860" s="213">
        <v>815.84</v>
      </c>
      <c r="X1860" s="213">
        <v>81.58</v>
      </c>
    </row>
    <row r="1861" spans="2:24" s="46" customFormat="1" ht="15" customHeight="1" thickTop="1">
      <c r="B1861" s="14"/>
      <c r="C1861" s="3"/>
      <c r="D1861" s="47"/>
      <c r="E1861" s="47"/>
      <c r="F1861" s="191"/>
      <c r="G1861" s="56"/>
      <c r="H1861" s="56"/>
      <c r="I1861" s="56"/>
      <c r="J1861" s="56"/>
      <c r="K1861" s="56"/>
      <c r="L1861" s="56"/>
      <c r="M1861" s="56"/>
      <c r="N1861" s="56"/>
      <c r="O1861" s="47"/>
      <c r="P1861" s="80"/>
      <c r="Q1861" s="202">
        <v>1689</v>
      </c>
      <c r="R1861" s="210">
        <v>20</v>
      </c>
      <c r="S1861" s="205" t="s">
        <v>1338</v>
      </c>
      <c r="T1861" s="206" t="s">
        <v>93</v>
      </c>
      <c r="U1861" s="211">
        <v>0</v>
      </c>
      <c r="V1861" s="211">
        <v>0</v>
      </c>
      <c r="W1861" s="213">
        <v>0</v>
      </c>
      <c r="X1861" s="213">
        <v>0</v>
      </c>
    </row>
    <row r="1862" spans="2:24" s="46" customFormat="1" ht="15" customHeight="1">
      <c r="B1862" s="14"/>
      <c r="C1862" s="3"/>
      <c r="D1862" s="47" t="s">
        <v>1307</v>
      </c>
      <c r="E1862" s="47"/>
      <c r="F1862" s="191"/>
      <c r="G1862" s="56"/>
      <c r="H1862" s="56"/>
      <c r="I1862" s="56"/>
      <c r="J1862" s="56"/>
      <c r="K1862" s="56"/>
      <c r="L1862" s="56"/>
      <c r="M1862" s="56"/>
      <c r="N1862" s="56"/>
      <c r="O1862" s="47"/>
      <c r="P1862" s="78"/>
      <c r="Q1862" s="202">
        <v>1690</v>
      </c>
      <c r="R1862" s="210">
        <v>20</v>
      </c>
      <c r="S1862" s="205" t="s">
        <v>1339</v>
      </c>
      <c r="T1862" s="206" t="s">
        <v>95</v>
      </c>
      <c r="U1862" s="211">
        <v>0</v>
      </c>
      <c r="V1862" s="211">
        <v>0</v>
      </c>
      <c r="W1862" s="213">
        <v>0</v>
      </c>
      <c r="X1862" s="213">
        <v>0</v>
      </c>
    </row>
    <row r="1863" spans="2:24" s="46" customFormat="1" ht="15" customHeight="1">
      <c r="B1863" s="14"/>
      <c r="C1863" s="3"/>
      <c r="D1863" s="47"/>
      <c r="E1863" s="47"/>
      <c r="F1863" s="191"/>
      <c r="G1863" s="56"/>
      <c r="H1863" s="56"/>
      <c r="I1863" s="56"/>
      <c r="J1863" s="56"/>
      <c r="K1863" s="56"/>
      <c r="L1863" s="56"/>
      <c r="M1863" s="56"/>
      <c r="N1863" s="56"/>
      <c r="O1863" s="47"/>
      <c r="P1863" s="73"/>
      <c r="Q1863" s="202">
        <v>1691</v>
      </c>
      <c r="R1863" s="210">
        <v>20</v>
      </c>
      <c r="S1863" s="205" t="s">
        <v>1340</v>
      </c>
      <c r="T1863" s="206" t="s">
        <v>97</v>
      </c>
      <c r="U1863" s="211">
        <v>2283</v>
      </c>
      <c r="V1863" s="211">
        <v>186</v>
      </c>
      <c r="W1863" s="213">
        <v>1376</v>
      </c>
      <c r="X1863" s="213">
        <v>60.27</v>
      </c>
    </row>
    <row r="1864" spans="2:24" s="5" customFormat="1" ht="15" customHeight="1">
      <c r="C1864" s="3"/>
      <c r="D1864" s="47" t="s">
        <v>2322</v>
      </c>
      <c r="E1864" s="15"/>
      <c r="F1864" s="105"/>
      <c r="G1864" s="26"/>
      <c r="H1864" s="26"/>
      <c r="I1864" s="26"/>
      <c r="J1864" s="26"/>
      <c r="K1864" s="26"/>
      <c r="L1864" s="26"/>
      <c r="M1864" s="26"/>
      <c r="N1864" s="26"/>
      <c r="O1864" s="6"/>
      <c r="P1864" s="73"/>
      <c r="Q1864" s="202">
        <v>1692</v>
      </c>
      <c r="R1864" s="210">
        <v>20</v>
      </c>
      <c r="S1864" s="205" t="s">
        <v>1341</v>
      </c>
      <c r="T1864" s="206" t="s">
        <v>99</v>
      </c>
      <c r="U1864" s="211">
        <v>177</v>
      </c>
      <c r="V1864" s="211">
        <v>0</v>
      </c>
      <c r="W1864" s="213">
        <v>171.72</v>
      </c>
      <c r="X1864" s="213">
        <v>97.02</v>
      </c>
    </row>
    <row r="1865" spans="2:24" ht="15" customHeight="1">
      <c r="G1865" s="26"/>
      <c r="H1865" s="26"/>
      <c r="I1865" s="26"/>
      <c r="J1865" s="26"/>
      <c r="K1865" s="26"/>
      <c r="L1865" s="26"/>
      <c r="M1865" s="26"/>
      <c r="N1865" s="26"/>
      <c r="P1865" s="78"/>
      <c r="Q1865" s="202">
        <v>1693</v>
      </c>
      <c r="R1865" s="210">
        <v>20</v>
      </c>
      <c r="S1865" s="205" t="s">
        <v>1342</v>
      </c>
      <c r="T1865" s="206" t="s">
        <v>101</v>
      </c>
      <c r="U1865" s="211">
        <v>0</v>
      </c>
      <c r="V1865" s="211">
        <v>0</v>
      </c>
      <c r="W1865" s="213">
        <v>0</v>
      </c>
      <c r="X1865" s="213">
        <v>0</v>
      </c>
    </row>
    <row r="1866" spans="2:24" ht="15" customHeight="1">
      <c r="C1866" s="3">
        <v>20</v>
      </c>
      <c r="D1866" s="15" t="s">
        <v>1330</v>
      </c>
      <c r="E1866" s="312" t="s">
        <v>79</v>
      </c>
      <c r="G1866" s="26">
        <v>75770</v>
      </c>
      <c r="H1866" s="26">
        <v>80586</v>
      </c>
      <c r="I1866" s="26">
        <v>84539</v>
      </c>
      <c r="J1866" s="26">
        <v>81633</v>
      </c>
      <c r="K1866" s="26">
        <v>86401</v>
      </c>
      <c r="L1866" s="26">
        <v>49174</v>
      </c>
      <c r="M1866" s="26">
        <v>83973</v>
      </c>
      <c r="N1866" s="26">
        <v>84571</v>
      </c>
      <c r="P1866" s="81"/>
      <c r="Q1866" s="202">
        <v>1694</v>
      </c>
      <c r="R1866" s="210">
        <v>20</v>
      </c>
      <c r="S1866" s="205" t="s">
        <v>1343</v>
      </c>
      <c r="T1866" s="206" t="s">
        <v>103</v>
      </c>
      <c r="U1866" s="211">
        <v>0</v>
      </c>
      <c r="V1866" s="211">
        <v>0</v>
      </c>
      <c r="W1866" s="213">
        <v>0</v>
      </c>
      <c r="X1866" s="213">
        <v>0</v>
      </c>
    </row>
    <row r="1867" spans="2:24" ht="15" customHeight="1">
      <c r="C1867" s="3">
        <v>20</v>
      </c>
      <c r="D1867" s="15" t="s">
        <v>1331</v>
      </c>
      <c r="E1867" s="312" t="s">
        <v>81</v>
      </c>
      <c r="G1867" s="26">
        <v>19977</v>
      </c>
      <c r="H1867" s="26">
        <v>19977</v>
      </c>
      <c r="I1867" s="26">
        <v>19977</v>
      </c>
      <c r="J1867" s="26">
        <v>18312</v>
      </c>
      <c r="K1867" s="26">
        <v>19977</v>
      </c>
      <c r="L1867" s="26">
        <v>11653</v>
      </c>
      <c r="M1867" s="26">
        <v>19997</v>
      </c>
      <c r="N1867" s="26">
        <v>19977</v>
      </c>
      <c r="P1867" s="83"/>
      <c r="Q1867" s="202">
        <v>1695</v>
      </c>
      <c r="R1867" s="210">
        <v>20</v>
      </c>
      <c r="S1867" s="205" t="s">
        <v>2623</v>
      </c>
      <c r="T1867" s="206"/>
      <c r="U1867" s="211"/>
      <c r="V1867" s="211"/>
      <c r="W1867" s="213"/>
      <c r="X1867" s="213"/>
    </row>
    <row r="1868" spans="2:24" ht="15" customHeight="1">
      <c r="C1868" s="3">
        <v>20</v>
      </c>
      <c r="D1868" s="15" t="s">
        <v>1332</v>
      </c>
      <c r="E1868" s="312" t="s">
        <v>83</v>
      </c>
      <c r="G1868" s="26">
        <v>0</v>
      </c>
      <c r="H1868" s="26">
        <v>135</v>
      </c>
      <c r="I1868" s="26">
        <v>0</v>
      </c>
      <c r="J1868" s="26">
        <v>0</v>
      </c>
      <c r="K1868" s="26">
        <v>0</v>
      </c>
      <c r="L1868" s="26">
        <v>0</v>
      </c>
      <c r="M1868" s="26">
        <v>0</v>
      </c>
      <c r="N1868" s="26">
        <v>0</v>
      </c>
      <c r="P1868" s="78"/>
      <c r="Q1868" s="202">
        <v>1696</v>
      </c>
      <c r="R1868" s="210">
        <v>20</v>
      </c>
      <c r="S1868" s="205" t="s">
        <v>2621</v>
      </c>
      <c r="T1868" s="206"/>
      <c r="U1868" s="211">
        <v>130946</v>
      </c>
      <c r="V1868" s="211">
        <v>10517.78</v>
      </c>
      <c r="W1868" s="213">
        <v>86436.87</v>
      </c>
      <c r="X1868" s="213">
        <v>0</v>
      </c>
    </row>
    <row r="1869" spans="2:24" ht="15" customHeight="1">
      <c r="C1869" s="3">
        <v>20</v>
      </c>
      <c r="D1869" s="15" t="s">
        <v>1333</v>
      </c>
      <c r="E1869" s="312" t="s">
        <v>85</v>
      </c>
      <c r="G1869" s="26">
        <v>297</v>
      </c>
      <c r="H1869" s="26">
        <v>0</v>
      </c>
      <c r="I1869" s="26">
        <v>567</v>
      </c>
      <c r="J1869" s="26">
        <v>220</v>
      </c>
      <c r="K1869" s="26">
        <v>605</v>
      </c>
      <c r="L1869" s="26">
        <v>630</v>
      </c>
      <c r="M1869" s="26">
        <v>875</v>
      </c>
      <c r="N1869" s="26">
        <v>875</v>
      </c>
      <c r="P1869" s="74"/>
      <c r="Q1869" s="202">
        <v>1697</v>
      </c>
      <c r="R1869" s="210">
        <v>20</v>
      </c>
      <c r="S1869" s="205" t="s">
        <v>104</v>
      </c>
      <c r="T1869" s="206"/>
      <c r="U1869" s="211"/>
      <c r="V1869" s="211"/>
      <c r="W1869" s="213"/>
      <c r="X1869" s="213"/>
    </row>
    <row r="1870" spans="2:24" ht="15" customHeight="1">
      <c r="C1870" s="3">
        <v>20</v>
      </c>
      <c r="D1870" s="15" t="s">
        <v>1334</v>
      </c>
      <c r="E1870" s="312" t="s">
        <v>87</v>
      </c>
      <c r="G1870" s="26">
        <v>5935</v>
      </c>
      <c r="H1870" s="26">
        <v>6266</v>
      </c>
      <c r="I1870" s="26">
        <v>6351</v>
      </c>
      <c r="J1870" s="26">
        <v>6403</v>
      </c>
      <c r="K1870" s="26">
        <v>6627</v>
      </c>
      <c r="L1870" s="26">
        <v>3902</v>
      </c>
      <c r="M1870" s="26">
        <v>6850</v>
      </c>
      <c r="N1870" s="26">
        <v>6665</v>
      </c>
      <c r="P1870" s="73"/>
      <c r="Q1870" s="202">
        <v>1698</v>
      </c>
      <c r="R1870" s="210">
        <v>20</v>
      </c>
      <c r="S1870" s="205" t="s">
        <v>2624</v>
      </c>
      <c r="T1870" s="206"/>
      <c r="U1870" s="211"/>
      <c r="V1870" s="211"/>
      <c r="W1870" s="213"/>
      <c r="X1870" s="213"/>
    </row>
    <row r="1871" spans="2:24" ht="15" customHeight="1">
      <c r="C1871" s="3">
        <v>20</v>
      </c>
      <c r="D1871" s="15" t="s">
        <v>1335</v>
      </c>
      <c r="E1871" s="312" t="s">
        <v>89</v>
      </c>
      <c r="G1871" s="26">
        <v>11199</v>
      </c>
      <c r="H1871" s="26">
        <v>11997</v>
      </c>
      <c r="I1871" s="26">
        <v>13129</v>
      </c>
      <c r="J1871" s="26">
        <v>13591</v>
      </c>
      <c r="K1871" s="26">
        <v>13876</v>
      </c>
      <c r="L1871" s="26">
        <v>8383</v>
      </c>
      <c r="M1871" s="26">
        <v>14460</v>
      </c>
      <c r="N1871" s="26">
        <v>14563</v>
      </c>
      <c r="P1871" s="78"/>
      <c r="Q1871" s="202">
        <v>1699</v>
      </c>
      <c r="R1871" s="210">
        <v>20</v>
      </c>
      <c r="S1871" s="205" t="s">
        <v>1344</v>
      </c>
      <c r="T1871" s="206" t="s">
        <v>115</v>
      </c>
      <c r="U1871" s="211">
        <v>1600</v>
      </c>
      <c r="V1871" s="211">
        <v>97.47</v>
      </c>
      <c r="W1871" s="213">
        <v>834.01</v>
      </c>
      <c r="X1871" s="213">
        <v>52.13</v>
      </c>
    </row>
    <row r="1872" spans="2:24" ht="15" customHeight="1">
      <c r="C1872" s="3">
        <v>20</v>
      </c>
      <c r="D1872" s="15" t="s">
        <v>1336</v>
      </c>
      <c r="E1872" s="312" t="s">
        <v>2554</v>
      </c>
      <c r="G1872" s="26">
        <v>0</v>
      </c>
      <c r="H1872" s="26">
        <v>0</v>
      </c>
      <c r="I1872" s="26">
        <v>0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P1872" s="199"/>
      <c r="Q1872" s="202">
        <v>1700</v>
      </c>
      <c r="R1872" s="210">
        <v>20</v>
      </c>
      <c r="S1872" s="205" t="s">
        <v>1345</v>
      </c>
      <c r="T1872" s="206" t="s">
        <v>117</v>
      </c>
      <c r="U1872" s="211">
        <v>100</v>
      </c>
      <c r="V1872" s="211">
        <v>21.85</v>
      </c>
      <c r="W1872" s="213">
        <v>57.81</v>
      </c>
      <c r="X1872" s="213">
        <v>57.81</v>
      </c>
    </row>
    <row r="1873" spans="1:24" ht="15" customHeight="1">
      <c r="C1873" s="3">
        <v>20</v>
      </c>
      <c r="D1873" s="15" t="s">
        <v>1337</v>
      </c>
      <c r="E1873" s="312" t="s">
        <v>91</v>
      </c>
      <c r="G1873" s="26">
        <v>1439</v>
      </c>
      <c r="H1873" s="26">
        <v>643</v>
      </c>
      <c r="I1873" s="26">
        <v>0</v>
      </c>
      <c r="J1873" s="26">
        <v>648</v>
      </c>
      <c r="K1873" s="26">
        <v>1000</v>
      </c>
      <c r="L1873" s="26">
        <v>816</v>
      </c>
      <c r="M1873" s="26">
        <v>4400</v>
      </c>
      <c r="N1873" s="26">
        <v>4400</v>
      </c>
      <c r="P1873" s="83"/>
      <c r="Q1873" s="202">
        <v>1701</v>
      </c>
      <c r="R1873" s="210">
        <v>20</v>
      </c>
      <c r="S1873" s="205" t="s">
        <v>1346</v>
      </c>
      <c r="T1873" s="206" t="s">
        <v>119</v>
      </c>
      <c r="U1873" s="211">
        <v>14500</v>
      </c>
      <c r="V1873" s="211">
        <v>2000</v>
      </c>
      <c r="W1873" s="213">
        <v>9890.84</v>
      </c>
      <c r="X1873" s="213">
        <v>68.209999999999994</v>
      </c>
    </row>
    <row r="1874" spans="1:24" ht="15" customHeight="1">
      <c r="C1874" s="3">
        <v>20</v>
      </c>
      <c r="D1874" s="15" t="s">
        <v>1338</v>
      </c>
      <c r="E1874" s="312" t="s">
        <v>93</v>
      </c>
      <c r="G1874" s="26">
        <v>0</v>
      </c>
      <c r="H1874" s="26">
        <v>0</v>
      </c>
      <c r="I1874" s="26">
        <v>0</v>
      </c>
      <c r="J1874" s="26">
        <v>455</v>
      </c>
      <c r="K1874" s="26">
        <v>0</v>
      </c>
      <c r="L1874" s="26">
        <v>0</v>
      </c>
      <c r="M1874" s="26">
        <v>0</v>
      </c>
      <c r="N1874" s="26">
        <v>0</v>
      </c>
      <c r="P1874" s="78"/>
      <c r="Q1874" s="202">
        <v>1702</v>
      </c>
      <c r="R1874" s="210">
        <v>20</v>
      </c>
      <c r="S1874" s="205" t="s">
        <v>1347</v>
      </c>
      <c r="T1874" s="206" t="s">
        <v>121</v>
      </c>
      <c r="U1874" s="211">
        <v>1000</v>
      </c>
      <c r="V1874" s="211">
        <v>270.64999999999998</v>
      </c>
      <c r="W1874" s="213">
        <v>270.64999999999998</v>
      </c>
      <c r="X1874" s="213">
        <v>27.07</v>
      </c>
    </row>
    <row r="1875" spans="1:24" ht="15" customHeight="1">
      <c r="C1875" s="3">
        <v>20</v>
      </c>
      <c r="D1875" s="15" t="s">
        <v>1339</v>
      </c>
      <c r="E1875" s="312" t="s">
        <v>95</v>
      </c>
      <c r="G1875" s="26">
        <v>0</v>
      </c>
      <c r="H1875" s="26">
        <v>0</v>
      </c>
      <c r="I1875" s="26">
        <v>0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P1875" s="78"/>
      <c r="Q1875" s="202">
        <v>1703</v>
      </c>
      <c r="R1875" s="210">
        <v>20</v>
      </c>
      <c r="S1875" s="205" t="s">
        <v>1348</v>
      </c>
      <c r="T1875" s="206" t="s">
        <v>123</v>
      </c>
      <c r="U1875" s="211">
        <v>0</v>
      </c>
      <c r="V1875" s="211">
        <v>0</v>
      </c>
      <c r="W1875" s="213">
        <v>0</v>
      </c>
      <c r="X1875" s="213">
        <v>0</v>
      </c>
    </row>
    <row r="1876" spans="1:24" ht="15" customHeight="1">
      <c r="C1876" s="3">
        <v>20</v>
      </c>
      <c r="D1876" s="15" t="s">
        <v>1340</v>
      </c>
      <c r="E1876" s="312" t="s">
        <v>97</v>
      </c>
      <c r="G1876" s="26">
        <v>1608</v>
      </c>
      <c r="H1876" s="26">
        <v>1871</v>
      </c>
      <c r="I1876" s="26">
        <v>2051</v>
      </c>
      <c r="J1876" s="26">
        <v>1965</v>
      </c>
      <c r="K1876" s="26">
        <v>2283</v>
      </c>
      <c r="L1876" s="26">
        <v>1190</v>
      </c>
      <c r="M1876" s="26">
        <v>2283</v>
      </c>
      <c r="N1876" s="26">
        <v>2322</v>
      </c>
      <c r="P1876" s="73" t="s">
        <v>2598</v>
      </c>
      <c r="Q1876" s="202">
        <v>1704</v>
      </c>
      <c r="R1876" s="210">
        <v>20</v>
      </c>
      <c r="S1876" s="205" t="s">
        <v>1349</v>
      </c>
      <c r="T1876" s="206" t="s">
        <v>125</v>
      </c>
      <c r="U1876" s="211">
        <v>0</v>
      </c>
      <c r="V1876" s="211">
        <v>0</v>
      </c>
      <c r="W1876" s="213">
        <v>0</v>
      </c>
      <c r="X1876" s="213">
        <v>0</v>
      </c>
    </row>
    <row r="1877" spans="1:24" ht="15" customHeight="1">
      <c r="C1877" s="3">
        <v>20</v>
      </c>
      <c r="D1877" s="15" t="s">
        <v>1341</v>
      </c>
      <c r="E1877" s="312" t="s">
        <v>99</v>
      </c>
      <c r="G1877" s="26">
        <v>176</v>
      </c>
      <c r="H1877" s="26">
        <v>176</v>
      </c>
      <c r="I1877" s="26">
        <v>176</v>
      </c>
      <c r="J1877" s="26">
        <v>117</v>
      </c>
      <c r="K1877" s="26">
        <v>177</v>
      </c>
      <c r="L1877" s="26">
        <v>172</v>
      </c>
      <c r="M1877" s="26">
        <v>177</v>
      </c>
      <c r="N1877" s="26">
        <v>177</v>
      </c>
      <c r="P1877" s="73"/>
      <c r="Q1877" s="202">
        <v>1705</v>
      </c>
      <c r="R1877" s="210">
        <v>20</v>
      </c>
      <c r="S1877" s="205" t="s">
        <v>1350</v>
      </c>
      <c r="T1877" s="206" t="s">
        <v>106</v>
      </c>
      <c r="U1877" s="211">
        <v>0</v>
      </c>
      <c r="V1877" s="211">
        <v>0</v>
      </c>
      <c r="W1877" s="213">
        <v>215.97</v>
      </c>
      <c r="X1877" s="213">
        <v>0</v>
      </c>
    </row>
    <row r="1878" spans="1:24" ht="15" customHeight="1">
      <c r="C1878" s="3">
        <v>20</v>
      </c>
      <c r="D1878" s="15" t="s">
        <v>1342</v>
      </c>
      <c r="E1878" s="312" t="s">
        <v>101</v>
      </c>
      <c r="G1878" s="26">
        <v>0</v>
      </c>
      <c r="H1878" s="26">
        <v>0</v>
      </c>
      <c r="I1878" s="26">
        <v>0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P1878" s="73"/>
      <c r="Q1878" s="202">
        <v>1706</v>
      </c>
      <c r="R1878" s="210">
        <v>20</v>
      </c>
      <c r="S1878" s="205" t="s">
        <v>1351</v>
      </c>
      <c r="T1878" s="206" t="s">
        <v>200</v>
      </c>
      <c r="U1878" s="211">
        <v>200</v>
      </c>
      <c r="V1878" s="211">
        <v>0</v>
      </c>
      <c r="W1878" s="213">
        <v>0</v>
      </c>
      <c r="X1878" s="213">
        <v>0</v>
      </c>
    </row>
    <row r="1879" spans="1:24" ht="15" customHeight="1">
      <c r="C1879" s="3">
        <v>20</v>
      </c>
      <c r="D1879" s="15" t="s">
        <v>1343</v>
      </c>
      <c r="E1879" s="312" t="s">
        <v>103</v>
      </c>
      <c r="G1879" s="26">
        <v>0</v>
      </c>
      <c r="H1879" s="26">
        <v>0</v>
      </c>
      <c r="I1879" s="26">
        <v>0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P1879" s="73"/>
      <c r="Q1879" s="202">
        <v>1707</v>
      </c>
      <c r="R1879" s="210">
        <v>20</v>
      </c>
      <c r="S1879" s="205" t="s">
        <v>1352</v>
      </c>
      <c r="T1879" s="206" t="s">
        <v>202</v>
      </c>
      <c r="U1879" s="211">
        <v>0</v>
      </c>
      <c r="V1879" s="211">
        <v>0</v>
      </c>
      <c r="W1879" s="213">
        <v>0</v>
      </c>
      <c r="X1879" s="213">
        <v>0</v>
      </c>
    </row>
    <row r="1880" spans="1:24" ht="15" customHeight="1">
      <c r="G1880" s="26"/>
      <c r="H1880" s="26"/>
      <c r="I1880" s="26"/>
      <c r="J1880" s="26"/>
      <c r="K1880" s="26"/>
      <c r="L1880" s="26"/>
      <c r="M1880" s="26"/>
      <c r="N1880" s="26"/>
      <c r="P1880" s="73"/>
      <c r="Q1880" s="202">
        <v>1708</v>
      </c>
      <c r="R1880" s="210">
        <v>20</v>
      </c>
      <c r="S1880" s="205" t="s">
        <v>1353</v>
      </c>
      <c r="T1880" s="206" t="s">
        <v>132</v>
      </c>
      <c r="U1880" s="211">
        <v>2500</v>
      </c>
      <c r="V1880" s="211">
        <v>0</v>
      </c>
      <c r="W1880" s="213">
        <v>603.65</v>
      </c>
      <c r="X1880" s="213">
        <v>24.15</v>
      </c>
    </row>
    <row r="1881" spans="1:24" s="72" customFormat="1" ht="15" customHeight="1">
      <c r="A1881" s="5" t="s">
        <v>2410</v>
      </c>
      <c r="B1881" s="62" t="s">
        <v>2317</v>
      </c>
      <c r="C1881" s="3"/>
      <c r="D1881" s="323" t="s">
        <v>2323</v>
      </c>
      <c r="E1881" s="323"/>
      <c r="F1881" s="324"/>
      <c r="G1881" s="325">
        <f>SUM(G1864:G1880)</f>
        <v>116401</v>
      </c>
      <c r="H1881" s="325">
        <f t="shared" ref="H1881:N1881" si="160">SUM(H1864:H1880)</f>
        <v>121651</v>
      </c>
      <c r="I1881" s="325">
        <f t="shared" si="160"/>
        <v>126790</v>
      </c>
      <c r="J1881" s="325">
        <f t="shared" si="160"/>
        <v>123344</v>
      </c>
      <c r="K1881" s="325">
        <f t="shared" si="160"/>
        <v>130946</v>
      </c>
      <c r="L1881" s="325">
        <f t="shared" si="160"/>
        <v>75920</v>
      </c>
      <c r="M1881" s="325">
        <f t="shared" si="160"/>
        <v>133015</v>
      </c>
      <c r="N1881" s="325">
        <f t="shared" si="160"/>
        <v>133550</v>
      </c>
      <c r="O1881" s="71"/>
      <c r="P1881" s="73"/>
      <c r="Q1881" s="202">
        <v>1709</v>
      </c>
      <c r="R1881" s="210">
        <v>20</v>
      </c>
      <c r="S1881" s="205" t="s">
        <v>1354</v>
      </c>
      <c r="T1881" s="206" t="s">
        <v>206</v>
      </c>
      <c r="U1881" s="211">
        <v>400</v>
      </c>
      <c r="V1881" s="211">
        <v>49.02</v>
      </c>
      <c r="W1881" s="213">
        <v>356.44</v>
      </c>
      <c r="X1881" s="213">
        <v>89.11</v>
      </c>
    </row>
    <row r="1882" spans="1:24" s="46" customFormat="1" ht="15" customHeight="1">
      <c r="B1882" s="14"/>
      <c r="C1882" s="3"/>
      <c r="D1882" s="47"/>
      <c r="E1882" s="47"/>
      <c r="F1882" s="191"/>
      <c r="G1882" s="48"/>
      <c r="H1882" s="48"/>
      <c r="I1882" s="48"/>
      <c r="J1882" s="48"/>
      <c r="K1882" s="48"/>
      <c r="L1882" s="48"/>
      <c r="M1882" s="48"/>
      <c r="N1882" s="48"/>
      <c r="O1882" s="47"/>
      <c r="P1882" s="73"/>
      <c r="Q1882" s="202">
        <v>1710</v>
      </c>
      <c r="R1882" s="210">
        <v>20</v>
      </c>
      <c r="S1882" s="205" t="s">
        <v>1355</v>
      </c>
      <c r="T1882" s="206" t="s">
        <v>134</v>
      </c>
      <c r="U1882" s="211">
        <v>0</v>
      </c>
      <c r="V1882" s="211">
        <v>0</v>
      </c>
      <c r="W1882" s="213">
        <v>0</v>
      </c>
      <c r="X1882" s="213">
        <v>0</v>
      </c>
    </row>
    <row r="1883" spans="1:24" ht="15" customHeight="1">
      <c r="D1883" s="47" t="s">
        <v>2324</v>
      </c>
      <c r="G1883" s="26"/>
      <c r="H1883" s="26"/>
      <c r="I1883" s="26"/>
      <c r="J1883" s="26"/>
      <c r="K1883" s="26"/>
      <c r="L1883" s="26"/>
      <c r="M1883" s="26"/>
      <c r="N1883" s="26"/>
      <c r="P1883" s="73"/>
      <c r="Q1883" s="202">
        <v>1711</v>
      </c>
      <c r="R1883" s="210">
        <v>20</v>
      </c>
      <c r="S1883" s="205" t="s">
        <v>2623</v>
      </c>
      <c r="T1883" s="206"/>
      <c r="U1883" s="211"/>
      <c r="V1883" s="211"/>
      <c r="W1883" s="213"/>
      <c r="X1883" s="213"/>
    </row>
    <row r="1884" spans="1:24" ht="15" customHeight="1">
      <c r="G1884" s="26"/>
      <c r="H1884" s="26"/>
      <c r="I1884" s="26"/>
      <c r="J1884" s="26"/>
      <c r="K1884" s="26"/>
      <c r="L1884" s="26"/>
      <c r="M1884" s="26"/>
      <c r="N1884" s="26"/>
      <c r="P1884" s="73"/>
      <c r="Q1884" s="202">
        <v>1712</v>
      </c>
      <c r="R1884" s="210">
        <v>20</v>
      </c>
      <c r="S1884" s="205" t="s">
        <v>104</v>
      </c>
      <c r="T1884" s="206"/>
      <c r="U1884" s="211">
        <v>20300</v>
      </c>
      <c r="V1884" s="211">
        <v>2438.9899999999998</v>
      </c>
      <c r="W1884" s="213">
        <v>12229.37</v>
      </c>
      <c r="X1884" s="213">
        <v>0</v>
      </c>
    </row>
    <row r="1885" spans="1:24" ht="15" customHeight="1">
      <c r="C1885" s="3">
        <v>20</v>
      </c>
      <c r="D1885" s="15" t="s">
        <v>1344</v>
      </c>
      <c r="E1885" s="312" t="s">
        <v>115</v>
      </c>
      <c r="G1885" s="26">
        <v>292</v>
      </c>
      <c r="H1885" s="26">
        <v>2302</v>
      </c>
      <c r="I1885" s="26">
        <v>1933</v>
      </c>
      <c r="J1885" s="26">
        <v>2175</v>
      </c>
      <c r="K1885" s="26">
        <v>1600</v>
      </c>
      <c r="L1885" s="26">
        <v>737</v>
      </c>
      <c r="M1885" s="26">
        <v>1500</v>
      </c>
      <c r="N1885" s="26">
        <v>1500</v>
      </c>
      <c r="P1885" s="73"/>
      <c r="Q1885" s="202">
        <v>1713</v>
      </c>
      <c r="R1885" s="210">
        <v>20</v>
      </c>
      <c r="S1885" s="205" t="s">
        <v>135</v>
      </c>
      <c r="T1885" s="206"/>
      <c r="U1885" s="211"/>
      <c r="V1885" s="211"/>
      <c r="W1885" s="213"/>
      <c r="X1885" s="213"/>
    </row>
    <row r="1886" spans="1:24" ht="15" customHeight="1">
      <c r="C1886" s="3">
        <v>20</v>
      </c>
      <c r="D1886" s="15" t="s">
        <v>1345</v>
      </c>
      <c r="E1886" s="312" t="s">
        <v>117</v>
      </c>
      <c r="G1886" s="26">
        <v>18</v>
      </c>
      <c r="H1886" s="26">
        <v>78</v>
      </c>
      <c r="I1886" s="26">
        <v>160</v>
      </c>
      <c r="J1886" s="26">
        <v>120</v>
      </c>
      <c r="K1886" s="26">
        <v>100</v>
      </c>
      <c r="L1886" s="26">
        <v>36</v>
      </c>
      <c r="M1886" s="26">
        <v>100</v>
      </c>
      <c r="N1886" s="26">
        <v>100</v>
      </c>
      <c r="P1886" s="73"/>
      <c r="Q1886" s="202">
        <v>1714</v>
      </c>
      <c r="R1886" s="210">
        <v>20</v>
      </c>
      <c r="S1886" s="205" t="s">
        <v>2626</v>
      </c>
      <c r="T1886" s="206"/>
      <c r="U1886" s="211"/>
      <c r="V1886" s="211"/>
      <c r="W1886" s="213"/>
      <c r="X1886" s="213"/>
    </row>
    <row r="1887" spans="1:24" ht="15" customHeight="1">
      <c r="C1887" s="3">
        <v>20</v>
      </c>
      <c r="D1887" s="15" t="s">
        <v>1346</v>
      </c>
      <c r="E1887" s="312" t="s">
        <v>119</v>
      </c>
      <c r="G1887" s="26">
        <v>14399</v>
      </c>
      <c r="H1887" s="26">
        <v>13617</v>
      </c>
      <c r="I1887" s="26">
        <v>16471</v>
      </c>
      <c r="J1887" s="26">
        <v>12907</v>
      </c>
      <c r="K1887" s="26">
        <v>14500</v>
      </c>
      <c r="L1887" s="26">
        <v>7891</v>
      </c>
      <c r="M1887" s="26">
        <v>17000</v>
      </c>
      <c r="N1887" s="26">
        <v>17000</v>
      </c>
      <c r="P1887" s="73"/>
      <c r="Q1887" s="202">
        <v>1715</v>
      </c>
      <c r="R1887" s="210">
        <v>20</v>
      </c>
      <c r="S1887" s="205" t="s">
        <v>1356</v>
      </c>
      <c r="T1887" s="206" t="s">
        <v>137</v>
      </c>
      <c r="U1887" s="211">
        <v>1600</v>
      </c>
      <c r="V1887" s="211">
        <v>152.81</v>
      </c>
      <c r="W1887" s="213">
        <v>1139.68</v>
      </c>
      <c r="X1887" s="213">
        <v>71.23</v>
      </c>
    </row>
    <row r="1888" spans="1:24" ht="15" customHeight="1">
      <c r="C1888" s="3">
        <v>20</v>
      </c>
      <c r="D1888" s="15" t="s">
        <v>1347</v>
      </c>
      <c r="E1888" s="312" t="s">
        <v>121</v>
      </c>
      <c r="G1888" s="26">
        <v>2449</v>
      </c>
      <c r="H1888" s="26">
        <v>512</v>
      </c>
      <c r="I1888" s="26">
        <v>1569</v>
      </c>
      <c r="J1888" s="26">
        <v>892</v>
      </c>
      <c r="K1888" s="26">
        <v>1000</v>
      </c>
      <c r="L1888" s="26">
        <v>0</v>
      </c>
      <c r="M1888" s="26">
        <v>1000</v>
      </c>
      <c r="N1888" s="26">
        <v>1000</v>
      </c>
      <c r="P1888" s="73"/>
      <c r="Q1888" s="202">
        <v>1716</v>
      </c>
      <c r="R1888" s="210">
        <v>20</v>
      </c>
      <c r="S1888" s="205" t="s">
        <v>1357</v>
      </c>
      <c r="T1888" s="206" t="s">
        <v>216</v>
      </c>
      <c r="U1888" s="211">
        <v>0</v>
      </c>
      <c r="V1888" s="211">
        <v>0</v>
      </c>
      <c r="W1888" s="213">
        <v>0</v>
      </c>
      <c r="X1888" s="213">
        <v>0</v>
      </c>
    </row>
    <row r="1889" spans="1:24" ht="15" customHeight="1">
      <c r="C1889" s="3">
        <v>20</v>
      </c>
      <c r="D1889" s="15" t="s">
        <v>1348</v>
      </c>
      <c r="E1889" s="312" t="s">
        <v>123</v>
      </c>
      <c r="G1889" s="26">
        <v>0</v>
      </c>
      <c r="H1889" s="26">
        <v>0</v>
      </c>
      <c r="I1889" s="26">
        <v>0</v>
      </c>
      <c r="J1889" s="26">
        <v>88</v>
      </c>
      <c r="K1889" s="26">
        <v>0</v>
      </c>
      <c r="L1889" s="26">
        <v>0</v>
      </c>
      <c r="M1889" s="26">
        <v>110</v>
      </c>
      <c r="N1889" s="26">
        <v>125</v>
      </c>
      <c r="P1889" s="73"/>
      <c r="Q1889" s="202">
        <v>1717</v>
      </c>
      <c r="R1889" s="210">
        <v>20</v>
      </c>
      <c r="S1889" s="205" t="s">
        <v>1358</v>
      </c>
      <c r="T1889" s="206" t="s">
        <v>139</v>
      </c>
      <c r="U1889" s="211">
        <v>29000</v>
      </c>
      <c r="V1889" s="211">
        <v>188.51</v>
      </c>
      <c r="W1889" s="213">
        <v>14858.15</v>
      </c>
      <c r="X1889" s="213">
        <v>51.24</v>
      </c>
    </row>
    <row r="1890" spans="1:24" ht="15" customHeight="1">
      <c r="C1890" s="3">
        <v>20</v>
      </c>
      <c r="D1890" s="15" t="s">
        <v>1349</v>
      </c>
      <c r="E1890" s="312" t="s">
        <v>125</v>
      </c>
      <c r="G1890" s="26">
        <v>884</v>
      </c>
      <c r="H1890" s="26">
        <v>0</v>
      </c>
      <c r="I1890" s="26">
        <v>12</v>
      </c>
      <c r="J1890" s="26">
        <v>0</v>
      </c>
      <c r="K1890" s="26">
        <v>0</v>
      </c>
      <c r="L1890" s="26">
        <v>0</v>
      </c>
      <c r="M1890" s="26">
        <v>0</v>
      </c>
      <c r="N1890" s="26">
        <v>0</v>
      </c>
      <c r="P1890" s="73"/>
      <c r="Q1890" s="202">
        <v>1718</v>
      </c>
      <c r="R1890" s="210">
        <v>20</v>
      </c>
      <c r="S1890" s="205" t="s">
        <v>1359</v>
      </c>
      <c r="T1890" s="206" t="s">
        <v>141</v>
      </c>
      <c r="U1890" s="211">
        <v>0</v>
      </c>
      <c r="V1890" s="211">
        <v>0</v>
      </c>
      <c r="W1890" s="213">
        <v>0</v>
      </c>
      <c r="X1890" s="213">
        <v>0</v>
      </c>
    </row>
    <row r="1891" spans="1:24" ht="15" customHeight="1">
      <c r="C1891" s="3">
        <v>20</v>
      </c>
      <c r="D1891" s="15" t="s">
        <v>1350</v>
      </c>
      <c r="E1891" s="312" t="s">
        <v>106</v>
      </c>
      <c r="G1891" s="26">
        <v>0</v>
      </c>
      <c r="H1891" s="26">
        <v>0</v>
      </c>
      <c r="I1891" s="26">
        <v>0</v>
      </c>
      <c r="J1891" s="26">
        <v>0</v>
      </c>
      <c r="K1891" s="26">
        <v>0</v>
      </c>
      <c r="L1891" s="26">
        <v>216</v>
      </c>
      <c r="M1891" s="26">
        <v>215.97</v>
      </c>
      <c r="N1891" s="26">
        <v>0</v>
      </c>
      <c r="P1891" s="73"/>
      <c r="Q1891" s="202">
        <v>1719</v>
      </c>
      <c r="R1891" s="210">
        <v>20</v>
      </c>
      <c r="S1891" s="205" t="s">
        <v>1360</v>
      </c>
      <c r="T1891" s="206" t="s">
        <v>145</v>
      </c>
      <c r="U1891" s="211">
        <v>9500</v>
      </c>
      <c r="V1891" s="211">
        <v>650.94000000000005</v>
      </c>
      <c r="W1891" s="213">
        <v>4733.53</v>
      </c>
      <c r="X1891" s="213">
        <v>49.83</v>
      </c>
    </row>
    <row r="1892" spans="1:24" ht="15" customHeight="1">
      <c r="C1892" s="3">
        <v>20</v>
      </c>
      <c r="D1892" s="15" t="s">
        <v>1351</v>
      </c>
      <c r="E1892" s="312" t="s">
        <v>200</v>
      </c>
      <c r="G1892" s="26">
        <v>0</v>
      </c>
      <c r="H1892" s="26">
        <v>236</v>
      </c>
      <c r="I1892" s="26">
        <v>157</v>
      </c>
      <c r="J1892" s="26">
        <v>0</v>
      </c>
      <c r="K1892" s="26">
        <v>200</v>
      </c>
      <c r="L1892" s="26">
        <v>0</v>
      </c>
      <c r="M1892" s="26">
        <v>200</v>
      </c>
      <c r="N1892" s="26">
        <v>200</v>
      </c>
      <c r="P1892" s="73"/>
      <c r="Q1892" s="202">
        <v>1720</v>
      </c>
      <c r="R1892" s="210">
        <v>20</v>
      </c>
      <c r="S1892" s="205" t="s">
        <v>1361</v>
      </c>
      <c r="T1892" s="206" t="s">
        <v>147</v>
      </c>
      <c r="U1892" s="211">
        <v>0</v>
      </c>
      <c r="V1892" s="211">
        <v>0</v>
      </c>
      <c r="W1892" s="213">
        <v>0</v>
      </c>
      <c r="X1892" s="213">
        <v>0</v>
      </c>
    </row>
    <row r="1893" spans="1:24" ht="15" customHeight="1">
      <c r="C1893" s="3">
        <v>20</v>
      </c>
      <c r="D1893" s="15" t="s">
        <v>1352</v>
      </c>
      <c r="E1893" s="312" t="s">
        <v>202</v>
      </c>
      <c r="G1893" s="26">
        <v>0</v>
      </c>
      <c r="H1893" s="26">
        <v>0</v>
      </c>
      <c r="I1893" s="26">
        <v>0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P1893" s="73"/>
      <c r="Q1893" s="202">
        <v>1721</v>
      </c>
      <c r="R1893" s="210">
        <v>20</v>
      </c>
      <c r="S1893" s="205" t="s">
        <v>1362</v>
      </c>
      <c r="T1893" s="206" t="s">
        <v>149</v>
      </c>
      <c r="U1893" s="211">
        <v>0</v>
      </c>
      <c r="V1893" s="211">
        <v>0</v>
      </c>
      <c r="W1893" s="213">
        <v>14.04</v>
      </c>
      <c r="X1893" s="213">
        <v>0</v>
      </c>
    </row>
    <row r="1894" spans="1:24" ht="15" customHeight="1">
      <c r="C1894" s="3">
        <v>20</v>
      </c>
      <c r="D1894" s="15" t="s">
        <v>1353</v>
      </c>
      <c r="E1894" s="312" t="s">
        <v>132</v>
      </c>
      <c r="G1894" s="26">
        <v>78</v>
      </c>
      <c r="H1894" s="26">
        <v>546</v>
      </c>
      <c r="I1894" s="26">
        <v>319</v>
      </c>
      <c r="J1894" s="26">
        <v>2485</v>
      </c>
      <c r="K1894" s="26">
        <v>2500</v>
      </c>
      <c r="L1894" s="26">
        <v>604</v>
      </c>
      <c r="M1894" s="26">
        <v>2500</v>
      </c>
      <c r="N1894" s="26">
        <v>2500</v>
      </c>
      <c r="P1894" s="73"/>
      <c r="Q1894" s="202">
        <v>1722</v>
      </c>
      <c r="R1894" s="210">
        <v>20</v>
      </c>
      <c r="S1894" s="205" t="s">
        <v>1363</v>
      </c>
      <c r="T1894" s="206" t="s">
        <v>151</v>
      </c>
      <c r="U1894" s="211">
        <v>350</v>
      </c>
      <c r="V1894" s="211">
        <v>0</v>
      </c>
      <c r="W1894" s="213">
        <v>0</v>
      </c>
      <c r="X1894" s="213">
        <v>0</v>
      </c>
    </row>
    <row r="1895" spans="1:24" ht="15" customHeight="1">
      <c r="C1895" s="3">
        <v>20</v>
      </c>
      <c r="D1895" s="15" t="s">
        <v>1354</v>
      </c>
      <c r="E1895" s="312" t="s">
        <v>206</v>
      </c>
      <c r="G1895" s="26">
        <v>0</v>
      </c>
      <c r="H1895" s="26">
        <v>125</v>
      </c>
      <c r="I1895" s="26">
        <v>526</v>
      </c>
      <c r="J1895" s="26">
        <v>706</v>
      </c>
      <c r="K1895" s="26">
        <v>400</v>
      </c>
      <c r="L1895" s="26">
        <v>307</v>
      </c>
      <c r="M1895" s="26">
        <v>575</v>
      </c>
      <c r="N1895" s="26">
        <v>900</v>
      </c>
      <c r="O1895" s="275" t="s">
        <v>2922</v>
      </c>
      <c r="P1895" s="74"/>
      <c r="Q1895" s="202">
        <v>1723</v>
      </c>
      <c r="R1895" s="210">
        <v>20</v>
      </c>
      <c r="S1895" s="205" t="s">
        <v>1364</v>
      </c>
      <c r="T1895" s="206" t="s">
        <v>153</v>
      </c>
      <c r="U1895" s="211">
        <v>2800</v>
      </c>
      <c r="V1895" s="211">
        <v>181.76</v>
      </c>
      <c r="W1895" s="213">
        <v>2887.7</v>
      </c>
      <c r="X1895" s="213">
        <v>103.13</v>
      </c>
    </row>
    <row r="1896" spans="1:24" ht="15" customHeight="1">
      <c r="C1896" s="3">
        <v>20</v>
      </c>
      <c r="D1896" s="15" t="s">
        <v>1355</v>
      </c>
      <c r="E1896" s="312" t="s">
        <v>134</v>
      </c>
      <c r="G1896" s="26">
        <v>0</v>
      </c>
      <c r="H1896" s="26">
        <v>0</v>
      </c>
      <c r="I1896" s="26">
        <v>0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P1896" s="84"/>
      <c r="Q1896" s="202">
        <v>1724</v>
      </c>
      <c r="R1896" s="210">
        <v>20</v>
      </c>
      <c r="S1896" s="205" t="s">
        <v>1365</v>
      </c>
      <c r="T1896" s="206" t="s">
        <v>157</v>
      </c>
      <c r="U1896" s="211">
        <v>7000</v>
      </c>
      <c r="V1896" s="211">
        <v>655.24</v>
      </c>
      <c r="W1896" s="213">
        <v>4011.42</v>
      </c>
      <c r="X1896" s="213">
        <v>57.31</v>
      </c>
    </row>
    <row r="1897" spans="1:24" ht="15" customHeight="1">
      <c r="G1897" s="26"/>
      <c r="H1897" s="26"/>
      <c r="I1897" s="26"/>
      <c r="J1897" s="26"/>
      <c r="K1897" s="26"/>
      <c r="L1897" s="26"/>
      <c r="M1897" s="26"/>
      <c r="N1897" s="26"/>
      <c r="P1897" s="83"/>
      <c r="Q1897" s="202">
        <v>1725</v>
      </c>
      <c r="R1897" s="210">
        <v>20</v>
      </c>
      <c r="S1897" s="205" t="s">
        <v>1366</v>
      </c>
      <c r="T1897" s="206" t="s">
        <v>159</v>
      </c>
      <c r="U1897" s="211">
        <v>0</v>
      </c>
      <c r="V1897" s="211">
        <v>0</v>
      </c>
      <c r="W1897" s="213">
        <v>0</v>
      </c>
      <c r="X1897" s="213">
        <v>0</v>
      </c>
    </row>
    <row r="1898" spans="1:24" s="200" customFormat="1" ht="15" customHeight="1">
      <c r="A1898" s="196" t="s">
        <v>104</v>
      </c>
      <c r="B1898" s="201" t="s">
        <v>2317</v>
      </c>
      <c r="C1898" s="75"/>
      <c r="D1898" s="323" t="s">
        <v>2325</v>
      </c>
      <c r="E1898" s="323"/>
      <c r="F1898" s="324"/>
      <c r="G1898" s="325">
        <f>SUM(G1883:G1897)</f>
        <v>18120</v>
      </c>
      <c r="H1898" s="325">
        <f t="shared" ref="H1898:N1898" si="161">SUM(H1883:H1897)</f>
        <v>17416</v>
      </c>
      <c r="I1898" s="325">
        <f t="shared" si="161"/>
        <v>21147</v>
      </c>
      <c r="J1898" s="325">
        <f t="shared" si="161"/>
        <v>19373</v>
      </c>
      <c r="K1898" s="325">
        <f t="shared" si="161"/>
        <v>20300</v>
      </c>
      <c r="L1898" s="325">
        <f t="shared" si="161"/>
        <v>9791</v>
      </c>
      <c r="M1898" s="325">
        <f t="shared" si="161"/>
        <v>23200.97</v>
      </c>
      <c r="N1898" s="325">
        <f t="shared" si="161"/>
        <v>23325</v>
      </c>
      <c r="O1898" s="198"/>
      <c r="P1898" s="78"/>
      <c r="Q1898" s="202">
        <v>1726</v>
      </c>
      <c r="R1898" s="210">
        <v>20</v>
      </c>
      <c r="S1898" s="205" t="s">
        <v>1367</v>
      </c>
      <c r="T1898" s="206" t="s">
        <v>229</v>
      </c>
      <c r="U1898" s="211">
        <v>0</v>
      </c>
      <c r="V1898" s="211">
        <v>0</v>
      </c>
      <c r="W1898" s="213">
        <v>0</v>
      </c>
      <c r="X1898" s="213">
        <v>0</v>
      </c>
    </row>
    <row r="1899" spans="1:24" s="46" customFormat="1" ht="15" customHeight="1">
      <c r="B1899" s="14"/>
      <c r="C1899" s="3"/>
      <c r="D1899" s="47"/>
      <c r="E1899" s="47"/>
      <c r="F1899" s="191"/>
      <c r="G1899" s="48"/>
      <c r="H1899" s="48"/>
      <c r="I1899" s="48"/>
      <c r="J1899" s="48"/>
      <c r="K1899" s="48"/>
      <c r="L1899" s="48"/>
      <c r="M1899" s="48"/>
      <c r="N1899" s="48"/>
      <c r="O1899" s="47"/>
      <c r="P1899" s="78"/>
      <c r="Q1899" s="202">
        <v>1727</v>
      </c>
      <c r="R1899" s="210">
        <v>20</v>
      </c>
      <c r="S1899" s="205" t="s">
        <v>1368</v>
      </c>
      <c r="T1899" s="206" t="s">
        <v>162</v>
      </c>
      <c r="U1899" s="211">
        <v>0</v>
      </c>
      <c r="V1899" s="211">
        <v>0</v>
      </c>
      <c r="W1899" s="213">
        <v>0</v>
      </c>
      <c r="X1899" s="213">
        <v>0</v>
      </c>
    </row>
    <row r="1900" spans="1:24" ht="15" customHeight="1">
      <c r="D1900" s="47" t="s">
        <v>2326</v>
      </c>
      <c r="G1900" s="26"/>
      <c r="H1900" s="26"/>
      <c r="I1900" s="26"/>
      <c r="J1900" s="26"/>
      <c r="K1900" s="26"/>
      <c r="L1900" s="26"/>
      <c r="M1900" s="26"/>
      <c r="N1900" s="26"/>
      <c r="P1900" s="73" t="s">
        <v>2599</v>
      </c>
      <c r="Q1900" s="202">
        <v>1728</v>
      </c>
      <c r="R1900" s="210">
        <v>20</v>
      </c>
      <c r="S1900" s="205" t="s">
        <v>2623</v>
      </c>
      <c r="T1900" s="206"/>
      <c r="U1900" s="211"/>
      <c r="V1900" s="211"/>
      <c r="W1900" s="213"/>
      <c r="X1900" s="213"/>
    </row>
    <row r="1901" spans="1:24" ht="15" customHeight="1">
      <c r="G1901" s="26"/>
      <c r="H1901" s="26"/>
      <c r="I1901" s="26"/>
      <c r="J1901" s="26"/>
      <c r="K1901" s="26"/>
      <c r="L1901" s="26"/>
      <c r="M1901" s="26"/>
      <c r="N1901" s="26"/>
      <c r="P1901" s="78"/>
      <c r="Q1901" s="202">
        <v>1729</v>
      </c>
      <c r="R1901" s="210">
        <v>20</v>
      </c>
      <c r="S1901" s="205" t="s">
        <v>135</v>
      </c>
      <c r="T1901" s="206"/>
      <c r="U1901" s="211">
        <v>50250</v>
      </c>
      <c r="V1901" s="211">
        <v>1829.26</v>
      </c>
      <c r="W1901" s="213">
        <v>27644.52</v>
      </c>
      <c r="X1901" s="213">
        <v>0</v>
      </c>
    </row>
    <row r="1902" spans="1:24" ht="15" customHeight="1">
      <c r="C1902" s="3">
        <v>20</v>
      </c>
      <c r="D1902" s="15" t="s">
        <v>1356</v>
      </c>
      <c r="E1902" s="312" t="s">
        <v>137</v>
      </c>
      <c r="G1902" s="26">
        <v>1350</v>
      </c>
      <c r="H1902" s="26">
        <v>895</v>
      </c>
      <c r="I1902" s="26">
        <v>1264</v>
      </c>
      <c r="J1902" s="26">
        <v>1475</v>
      </c>
      <c r="K1902" s="26">
        <v>1600</v>
      </c>
      <c r="L1902" s="26">
        <v>987</v>
      </c>
      <c r="M1902" s="26">
        <v>1800</v>
      </c>
      <c r="N1902" s="26">
        <v>1800</v>
      </c>
      <c r="P1902" s="85"/>
      <c r="Q1902" s="202">
        <v>1730</v>
      </c>
      <c r="R1902" s="210">
        <v>20</v>
      </c>
      <c r="S1902" s="205" t="s">
        <v>163</v>
      </c>
      <c r="T1902" s="206"/>
      <c r="U1902" s="211"/>
      <c r="V1902" s="211"/>
      <c r="W1902" s="213"/>
      <c r="X1902" s="213"/>
    </row>
    <row r="1903" spans="1:24" ht="15" customHeight="1">
      <c r="C1903" s="3">
        <v>20</v>
      </c>
      <c r="D1903" s="15" t="s">
        <v>1357</v>
      </c>
      <c r="E1903" s="312" t="s">
        <v>216</v>
      </c>
      <c r="G1903" s="26">
        <v>0</v>
      </c>
      <c r="H1903" s="26">
        <v>0</v>
      </c>
      <c r="I1903" s="26">
        <v>0</v>
      </c>
      <c r="J1903" s="26">
        <v>0</v>
      </c>
      <c r="K1903" s="26">
        <v>0</v>
      </c>
      <c r="L1903" s="26">
        <v>0</v>
      </c>
      <c r="M1903" s="26">
        <v>0</v>
      </c>
      <c r="N1903" s="26">
        <v>0</v>
      </c>
      <c r="P1903" s="78"/>
      <c r="Q1903" s="202">
        <v>1731</v>
      </c>
      <c r="R1903" s="210">
        <v>20</v>
      </c>
      <c r="S1903" s="205" t="s">
        <v>2627</v>
      </c>
      <c r="T1903" s="206"/>
      <c r="U1903" s="211"/>
      <c r="V1903" s="211"/>
      <c r="W1903" s="213"/>
      <c r="X1903" s="213"/>
    </row>
    <row r="1904" spans="1:24" ht="15" customHeight="1" thickBot="1">
      <c r="C1904" s="3">
        <v>20</v>
      </c>
      <c r="D1904" s="15" t="s">
        <v>1358</v>
      </c>
      <c r="E1904" s="312" t="s">
        <v>139</v>
      </c>
      <c r="G1904" s="26">
        <v>17549</v>
      </c>
      <c r="H1904" s="26">
        <v>25201</v>
      </c>
      <c r="I1904" s="26">
        <v>21714</v>
      </c>
      <c r="J1904" s="26">
        <v>24718</v>
      </c>
      <c r="K1904" s="26">
        <v>29000</v>
      </c>
      <c r="L1904" s="26">
        <v>14670</v>
      </c>
      <c r="M1904" s="26">
        <v>29000</v>
      </c>
      <c r="N1904" s="26">
        <f>29000+1000</f>
        <v>30000</v>
      </c>
      <c r="O1904" s="275" t="s">
        <v>2886</v>
      </c>
      <c r="P1904" s="82"/>
      <c r="Q1904" s="202">
        <v>1732</v>
      </c>
      <c r="R1904" s="210">
        <v>20</v>
      </c>
      <c r="S1904" s="205" t="s">
        <v>1369</v>
      </c>
      <c r="T1904" s="206" t="s">
        <v>232</v>
      </c>
      <c r="U1904" s="211">
        <v>1600</v>
      </c>
      <c r="V1904" s="211">
        <v>132.30000000000001</v>
      </c>
      <c r="W1904" s="213">
        <v>1043.9100000000001</v>
      </c>
      <c r="X1904" s="213">
        <v>65.239999999999995</v>
      </c>
    </row>
    <row r="1905" spans="1:24" ht="15" customHeight="1" thickTop="1">
      <c r="C1905" s="3">
        <v>20</v>
      </c>
      <c r="D1905" s="15" t="s">
        <v>1359</v>
      </c>
      <c r="E1905" s="312" t="s">
        <v>141</v>
      </c>
      <c r="G1905" s="26">
        <v>0</v>
      </c>
      <c r="H1905" s="26">
        <v>0</v>
      </c>
      <c r="I1905" s="26">
        <v>0</v>
      </c>
      <c r="J1905" s="26">
        <v>0</v>
      </c>
      <c r="K1905" s="26">
        <v>0</v>
      </c>
      <c r="L1905" s="26">
        <v>0</v>
      </c>
      <c r="M1905" s="26">
        <v>0</v>
      </c>
      <c r="N1905" s="26">
        <v>0</v>
      </c>
      <c r="P1905" s="78"/>
      <c r="Q1905" s="202">
        <v>1733</v>
      </c>
      <c r="R1905" s="210">
        <v>20</v>
      </c>
      <c r="S1905" s="205" t="s">
        <v>1370</v>
      </c>
      <c r="T1905" s="206" t="s">
        <v>329</v>
      </c>
      <c r="U1905" s="211">
        <v>0</v>
      </c>
      <c r="V1905" s="211">
        <v>0</v>
      </c>
      <c r="W1905" s="213">
        <v>0</v>
      </c>
      <c r="X1905" s="213">
        <v>0</v>
      </c>
    </row>
    <row r="1906" spans="1:24" ht="15" customHeight="1">
      <c r="C1906" s="3">
        <v>20</v>
      </c>
      <c r="D1906" s="15" t="s">
        <v>1360</v>
      </c>
      <c r="E1906" s="312" t="s">
        <v>145</v>
      </c>
      <c r="G1906" s="26">
        <v>15157</v>
      </c>
      <c r="H1906" s="26">
        <v>9632</v>
      </c>
      <c r="I1906" s="26">
        <v>10217</v>
      </c>
      <c r="J1906" s="26">
        <v>9267</v>
      </c>
      <c r="K1906" s="26">
        <v>9500</v>
      </c>
      <c r="L1906" s="26">
        <v>4083</v>
      </c>
      <c r="M1906" s="26">
        <v>9700</v>
      </c>
      <c r="N1906" s="26">
        <v>9700</v>
      </c>
      <c r="P1906" s="78"/>
      <c r="Q1906" s="202">
        <v>1734</v>
      </c>
      <c r="R1906" s="210">
        <v>20</v>
      </c>
      <c r="S1906" s="205" t="s">
        <v>1371</v>
      </c>
      <c r="T1906" s="206" t="s">
        <v>165</v>
      </c>
      <c r="U1906" s="211">
        <v>0</v>
      </c>
      <c r="V1906" s="211">
        <v>0</v>
      </c>
      <c r="W1906" s="213">
        <v>0</v>
      </c>
      <c r="X1906" s="213">
        <v>0</v>
      </c>
    </row>
    <row r="1907" spans="1:24" ht="15" customHeight="1">
      <c r="C1907" s="3">
        <v>20</v>
      </c>
      <c r="D1907" s="15" t="s">
        <v>1361</v>
      </c>
      <c r="E1907" s="312" t="s">
        <v>147</v>
      </c>
      <c r="G1907" s="26">
        <v>0</v>
      </c>
      <c r="H1907" s="26">
        <v>77</v>
      </c>
      <c r="I1907" s="26">
        <v>0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P1907" s="78"/>
      <c r="Q1907" s="202">
        <v>1735</v>
      </c>
      <c r="R1907" s="210">
        <v>20</v>
      </c>
      <c r="S1907" s="205" t="s">
        <v>1372</v>
      </c>
      <c r="T1907" s="206" t="s">
        <v>167</v>
      </c>
      <c r="U1907" s="211">
        <v>0</v>
      </c>
      <c r="V1907" s="211">
        <v>0</v>
      </c>
      <c r="W1907" s="213">
        <v>0</v>
      </c>
      <c r="X1907" s="213">
        <v>0</v>
      </c>
    </row>
    <row r="1908" spans="1:24" ht="15" customHeight="1">
      <c r="C1908" s="3">
        <v>20</v>
      </c>
      <c r="D1908" s="15" t="s">
        <v>1362</v>
      </c>
      <c r="E1908" s="312" t="s">
        <v>149</v>
      </c>
      <c r="G1908" s="26">
        <v>0</v>
      </c>
      <c r="H1908" s="26">
        <v>0</v>
      </c>
      <c r="I1908" s="26">
        <v>0</v>
      </c>
      <c r="J1908" s="26">
        <v>0</v>
      </c>
      <c r="K1908" s="26">
        <v>0</v>
      </c>
      <c r="L1908" s="26">
        <v>14</v>
      </c>
      <c r="M1908" s="26">
        <v>14.04</v>
      </c>
      <c r="N1908" s="26">
        <v>25</v>
      </c>
      <c r="P1908" s="80"/>
      <c r="Q1908" s="202">
        <v>1736</v>
      </c>
      <c r="R1908" s="210">
        <v>20</v>
      </c>
      <c r="S1908" s="205" t="s">
        <v>1373</v>
      </c>
      <c r="T1908" s="206" t="s">
        <v>169</v>
      </c>
      <c r="U1908" s="211">
        <v>18000</v>
      </c>
      <c r="V1908" s="211">
        <v>199.82</v>
      </c>
      <c r="W1908" s="213">
        <v>4201.91</v>
      </c>
      <c r="X1908" s="213">
        <v>23.34</v>
      </c>
    </row>
    <row r="1909" spans="1:24" ht="15" customHeight="1">
      <c r="C1909" s="3">
        <v>20</v>
      </c>
      <c r="D1909" s="15" t="s">
        <v>1363</v>
      </c>
      <c r="E1909" s="312" t="s">
        <v>151</v>
      </c>
      <c r="G1909" s="26">
        <v>150</v>
      </c>
      <c r="H1909" s="26">
        <v>0</v>
      </c>
      <c r="I1909" s="26">
        <v>0</v>
      </c>
      <c r="J1909" s="26">
        <v>0</v>
      </c>
      <c r="K1909" s="26">
        <v>350</v>
      </c>
      <c r="L1909" s="26">
        <v>0</v>
      </c>
      <c r="M1909" s="26">
        <v>350</v>
      </c>
      <c r="N1909" s="26">
        <v>350</v>
      </c>
      <c r="P1909" s="78"/>
      <c r="Q1909" s="202">
        <v>1737</v>
      </c>
      <c r="R1909" s="210">
        <v>20</v>
      </c>
      <c r="S1909" s="205" t="s">
        <v>1374</v>
      </c>
      <c r="T1909" s="206" t="s">
        <v>175</v>
      </c>
      <c r="U1909" s="211">
        <v>0</v>
      </c>
      <c r="V1909" s="211">
        <v>0</v>
      </c>
      <c r="W1909" s="213">
        <v>0</v>
      </c>
      <c r="X1909" s="213">
        <v>0</v>
      </c>
    </row>
    <row r="1910" spans="1:24" ht="15" customHeight="1">
      <c r="C1910" s="3">
        <v>20</v>
      </c>
      <c r="D1910" s="15" t="s">
        <v>1364</v>
      </c>
      <c r="E1910" s="312" t="s">
        <v>153</v>
      </c>
      <c r="G1910" s="26">
        <v>1561</v>
      </c>
      <c r="H1910" s="26">
        <v>4009</v>
      </c>
      <c r="I1910" s="26">
        <v>2250</v>
      </c>
      <c r="J1910" s="26">
        <v>4076</v>
      </c>
      <c r="K1910" s="26">
        <v>2800</v>
      </c>
      <c r="L1910" s="26">
        <v>2706</v>
      </c>
      <c r="M1910" s="26">
        <v>3000</v>
      </c>
      <c r="N1910" s="26">
        <v>3000</v>
      </c>
      <c r="P1910" s="78"/>
      <c r="Q1910" s="202">
        <v>1738</v>
      </c>
      <c r="R1910" s="210">
        <v>20</v>
      </c>
      <c r="S1910" s="205" t="s">
        <v>1375</v>
      </c>
      <c r="T1910" s="206" t="s">
        <v>244</v>
      </c>
      <c r="U1910" s="211">
        <v>0</v>
      </c>
      <c r="V1910" s="211">
        <v>0</v>
      </c>
      <c r="W1910" s="213">
        <v>0</v>
      </c>
      <c r="X1910" s="213">
        <v>0</v>
      </c>
    </row>
    <row r="1911" spans="1:24" ht="15" customHeight="1">
      <c r="C1911" s="3">
        <v>20</v>
      </c>
      <c r="D1911" s="15" t="s">
        <v>1365</v>
      </c>
      <c r="E1911" s="312" t="s">
        <v>157</v>
      </c>
      <c r="G1911" s="26">
        <v>8147</v>
      </c>
      <c r="H1911" s="26">
        <v>8064</v>
      </c>
      <c r="I1911" s="26">
        <v>6952</v>
      </c>
      <c r="J1911" s="26">
        <v>6548</v>
      </c>
      <c r="K1911" s="26">
        <v>7000</v>
      </c>
      <c r="L1911" s="26">
        <v>3356</v>
      </c>
      <c r="M1911" s="26">
        <v>6548</v>
      </c>
      <c r="N1911" s="26">
        <v>7000</v>
      </c>
      <c r="P1911" s="78"/>
      <c r="Q1911" s="202">
        <v>1739</v>
      </c>
      <c r="R1911" s="210">
        <v>20</v>
      </c>
      <c r="S1911" s="205" t="s">
        <v>2623</v>
      </c>
      <c r="T1911" s="206"/>
      <c r="U1911" s="211"/>
      <c r="V1911" s="211"/>
      <c r="W1911" s="213"/>
      <c r="X1911" s="213"/>
    </row>
    <row r="1912" spans="1:24" ht="15" customHeight="1">
      <c r="C1912" s="3">
        <v>20</v>
      </c>
      <c r="D1912" s="15" t="s">
        <v>1366</v>
      </c>
      <c r="E1912" s="312" t="s">
        <v>159</v>
      </c>
      <c r="G1912" s="26">
        <v>0</v>
      </c>
      <c r="H1912" s="26">
        <v>0</v>
      </c>
      <c r="I1912" s="26">
        <v>0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P1912" s="78"/>
      <c r="Q1912" s="202">
        <v>1740</v>
      </c>
      <c r="R1912" s="210">
        <v>20</v>
      </c>
      <c r="S1912" s="205" t="s">
        <v>163</v>
      </c>
      <c r="T1912" s="206"/>
      <c r="U1912" s="211">
        <v>19600</v>
      </c>
      <c r="V1912" s="211">
        <v>332.12</v>
      </c>
      <c r="W1912" s="213">
        <v>5245.82</v>
      </c>
      <c r="X1912" s="213">
        <v>0</v>
      </c>
    </row>
    <row r="1913" spans="1:24" ht="15" customHeight="1">
      <c r="C1913" s="3">
        <v>20</v>
      </c>
      <c r="D1913" s="15" t="s">
        <v>1367</v>
      </c>
      <c r="E1913" s="312" t="s">
        <v>229</v>
      </c>
      <c r="G1913" s="26">
        <v>0</v>
      </c>
      <c r="H1913" s="26">
        <v>0</v>
      </c>
      <c r="I1913" s="26">
        <v>0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P1913" s="78"/>
      <c r="Q1913" s="202">
        <v>1741</v>
      </c>
      <c r="R1913" s="210">
        <v>20</v>
      </c>
      <c r="S1913" s="205" t="s">
        <v>245</v>
      </c>
      <c r="T1913" s="206"/>
      <c r="U1913" s="211"/>
      <c r="V1913" s="211"/>
      <c r="W1913" s="213"/>
      <c r="X1913" s="213"/>
    </row>
    <row r="1914" spans="1:24" ht="15" customHeight="1">
      <c r="C1914" s="3">
        <v>20</v>
      </c>
      <c r="D1914" s="15" t="s">
        <v>1368</v>
      </c>
      <c r="E1914" s="312" t="s">
        <v>162</v>
      </c>
      <c r="G1914" s="26">
        <v>16</v>
      </c>
      <c r="H1914" s="26">
        <v>0</v>
      </c>
      <c r="I1914" s="26">
        <v>0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P1914" s="78"/>
      <c r="Q1914" s="202">
        <v>1742</v>
      </c>
      <c r="R1914" s="210">
        <v>20</v>
      </c>
      <c r="S1914" s="205" t="s">
        <v>2628</v>
      </c>
      <c r="T1914" s="206"/>
      <c r="U1914" s="211"/>
      <c r="V1914" s="211"/>
      <c r="W1914" s="213"/>
      <c r="X1914" s="213"/>
    </row>
    <row r="1915" spans="1:24" ht="15" customHeight="1">
      <c r="G1915" s="26"/>
      <c r="H1915" s="26"/>
      <c r="I1915" s="26"/>
      <c r="J1915" s="26"/>
      <c r="K1915" s="26"/>
      <c r="L1915" s="26"/>
      <c r="M1915" s="26"/>
      <c r="N1915" s="26"/>
      <c r="P1915" s="78"/>
      <c r="Q1915" s="202">
        <v>1743</v>
      </c>
      <c r="R1915" s="210">
        <v>20</v>
      </c>
      <c r="S1915" s="205" t="s">
        <v>1376</v>
      </c>
      <c r="T1915" s="206" t="s">
        <v>329</v>
      </c>
      <c r="U1915" s="211">
        <v>0</v>
      </c>
      <c r="V1915" s="211">
        <v>0</v>
      </c>
      <c r="W1915" s="213">
        <v>0</v>
      </c>
      <c r="X1915" s="213">
        <v>0</v>
      </c>
    </row>
    <row r="1916" spans="1:24" s="22" customFormat="1" ht="15" customHeight="1">
      <c r="A1916" s="5" t="s">
        <v>135</v>
      </c>
      <c r="B1916" s="62" t="s">
        <v>2317</v>
      </c>
      <c r="C1916" s="3"/>
      <c r="D1916" s="323" t="s">
        <v>3088</v>
      </c>
      <c r="E1916" s="323"/>
      <c r="F1916" s="324"/>
      <c r="G1916" s="325">
        <f>SUM(G1900:G1915)</f>
        <v>43930</v>
      </c>
      <c r="H1916" s="325">
        <f t="shared" ref="H1916:N1916" si="162">SUM(H1900:H1915)</f>
        <v>47878</v>
      </c>
      <c r="I1916" s="325">
        <f t="shared" si="162"/>
        <v>42397</v>
      </c>
      <c r="J1916" s="325">
        <f t="shared" si="162"/>
        <v>46084</v>
      </c>
      <c r="K1916" s="325">
        <f t="shared" si="162"/>
        <v>50250</v>
      </c>
      <c r="L1916" s="325">
        <f t="shared" si="162"/>
        <v>25816</v>
      </c>
      <c r="M1916" s="325">
        <f t="shared" si="162"/>
        <v>50412.04</v>
      </c>
      <c r="N1916" s="325">
        <f t="shared" si="162"/>
        <v>51875</v>
      </c>
      <c r="O1916" s="18"/>
      <c r="P1916" s="78"/>
      <c r="Q1916" s="202">
        <v>1744</v>
      </c>
      <c r="R1916" s="210">
        <v>20</v>
      </c>
      <c r="S1916" s="205" t="s">
        <v>1377</v>
      </c>
      <c r="T1916" s="206" t="s">
        <v>165</v>
      </c>
      <c r="U1916" s="211">
        <v>0</v>
      </c>
      <c r="V1916" s="211">
        <v>0</v>
      </c>
      <c r="W1916" s="213">
        <v>0</v>
      </c>
      <c r="X1916" s="213">
        <v>0</v>
      </c>
    </row>
    <row r="1917" spans="1:24" s="46" customFormat="1" ht="15" customHeight="1">
      <c r="B1917" s="14"/>
      <c r="C1917" s="3"/>
      <c r="D1917" s="47"/>
      <c r="E1917" s="47"/>
      <c r="F1917" s="191"/>
      <c r="G1917" s="48"/>
      <c r="H1917" s="48"/>
      <c r="I1917" s="48"/>
      <c r="J1917" s="48"/>
      <c r="K1917" s="48"/>
      <c r="L1917" s="48"/>
      <c r="M1917" s="48"/>
      <c r="N1917" s="48"/>
      <c r="O1917" s="47"/>
      <c r="P1917" s="81"/>
      <c r="Q1917" s="202">
        <v>1745</v>
      </c>
      <c r="R1917" s="210">
        <v>20</v>
      </c>
      <c r="S1917" s="205" t="s">
        <v>1378</v>
      </c>
      <c r="T1917" s="206" t="s">
        <v>167</v>
      </c>
      <c r="U1917" s="211">
        <v>0</v>
      </c>
      <c r="V1917" s="211">
        <v>0</v>
      </c>
      <c r="W1917" s="213">
        <v>0</v>
      </c>
      <c r="X1917" s="213">
        <v>0</v>
      </c>
    </row>
    <row r="1918" spans="1:24" ht="15" customHeight="1">
      <c r="D1918" s="47" t="s">
        <v>2327</v>
      </c>
      <c r="G1918" s="26"/>
      <c r="H1918" s="26"/>
      <c r="I1918" s="26"/>
      <c r="J1918" s="26"/>
      <c r="K1918" s="26"/>
      <c r="L1918" s="26"/>
      <c r="M1918" s="26"/>
      <c r="N1918" s="26"/>
      <c r="P1918" s="83"/>
      <c r="Q1918" s="202">
        <v>1746</v>
      </c>
      <c r="R1918" s="210">
        <v>20</v>
      </c>
      <c r="S1918" s="205" t="s">
        <v>1379</v>
      </c>
      <c r="T1918" s="206" t="s">
        <v>247</v>
      </c>
      <c r="U1918" s="211">
        <v>2000</v>
      </c>
      <c r="V1918" s="211">
        <v>0</v>
      </c>
      <c r="W1918" s="213">
        <v>0</v>
      </c>
      <c r="X1918" s="213">
        <v>0</v>
      </c>
    </row>
    <row r="1919" spans="1:24" ht="15" customHeight="1">
      <c r="G1919" s="26"/>
      <c r="H1919" s="26"/>
      <c r="I1919" s="26"/>
      <c r="J1919" s="26"/>
      <c r="K1919" s="26"/>
      <c r="L1919" s="26"/>
      <c r="M1919" s="26"/>
      <c r="N1919" s="26"/>
      <c r="P1919" s="78"/>
      <c r="Q1919" s="202">
        <v>1747</v>
      </c>
      <c r="R1919" s="210">
        <v>20</v>
      </c>
      <c r="S1919" s="205" t="s">
        <v>1380</v>
      </c>
      <c r="T1919" s="206" t="s">
        <v>244</v>
      </c>
      <c r="U1919" s="211">
        <v>0</v>
      </c>
      <c r="V1919" s="211">
        <v>0</v>
      </c>
      <c r="W1919" s="213">
        <v>0</v>
      </c>
      <c r="X1919" s="213">
        <v>0</v>
      </c>
    </row>
    <row r="1920" spans="1:24" ht="15" customHeight="1">
      <c r="C1920" s="3">
        <v>20</v>
      </c>
      <c r="D1920" s="15" t="s">
        <v>1369</v>
      </c>
      <c r="E1920" s="312" t="s">
        <v>232</v>
      </c>
      <c r="G1920" s="26">
        <v>1318</v>
      </c>
      <c r="H1920" s="26">
        <v>2036</v>
      </c>
      <c r="I1920" s="26">
        <v>2172</v>
      </c>
      <c r="J1920" s="26">
        <v>2704</v>
      </c>
      <c r="K1920" s="26">
        <v>1600</v>
      </c>
      <c r="L1920" s="26">
        <v>912</v>
      </c>
      <c r="M1920" s="26">
        <v>4000</v>
      </c>
      <c r="N1920" s="26">
        <v>4000</v>
      </c>
      <c r="P1920" s="78"/>
      <c r="Q1920" s="202">
        <v>1748</v>
      </c>
      <c r="R1920" s="210">
        <v>20</v>
      </c>
      <c r="S1920" s="205" t="s">
        <v>2623</v>
      </c>
      <c r="T1920" s="206"/>
      <c r="U1920" s="211"/>
      <c r="V1920" s="211"/>
      <c r="W1920" s="213"/>
      <c r="X1920" s="213"/>
    </row>
    <row r="1921" spans="1:24" ht="15" customHeight="1">
      <c r="C1921" s="3">
        <v>20</v>
      </c>
      <c r="D1921" s="15" t="s">
        <v>1370</v>
      </c>
      <c r="E1921" s="312" t="s">
        <v>329</v>
      </c>
      <c r="G1921" s="26">
        <v>0</v>
      </c>
      <c r="H1921" s="26">
        <v>0</v>
      </c>
      <c r="I1921" s="26">
        <v>0</v>
      </c>
      <c r="J1921" s="26">
        <v>0</v>
      </c>
      <c r="K1921" s="26">
        <v>0</v>
      </c>
      <c r="L1921" s="26">
        <v>0</v>
      </c>
      <c r="M1921" s="26">
        <v>0</v>
      </c>
      <c r="N1921" s="26">
        <v>0</v>
      </c>
      <c r="P1921" s="73"/>
      <c r="Q1921" s="202">
        <v>1749</v>
      </c>
      <c r="R1921" s="210">
        <v>20</v>
      </c>
      <c r="S1921" s="205" t="s">
        <v>245</v>
      </c>
      <c r="T1921" s="206"/>
      <c r="U1921" s="211">
        <v>2000</v>
      </c>
      <c r="V1921" s="211">
        <v>0</v>
      </c>
      <c r="W1921" s="213">
        <v>0</v>
      </c>
      <c r="X1921" s="213">
        <v>0</v>
      </c>
    </row>
    <row r="1922" spans="1:24" ht="15" customHeight="1">
      <c r="C1922" s="3">
        <v>20</v>
      </c>
      <c r="D1922" s="15" t="s">
        <v>1371</v>
      </c>
      <c r="E1922" s="312" t="s">
        <v>165</v>
      </c>
      <c r="G1922" s="26">
        <v>147</v>
      </c>
      <c r="H1922" s="26">
        <v>0</v>
      </c>
      <c r="I1922" s="26">
        <v>0</v>
      </c>
      <c r="J1922" s="26">
        <v>0</v>
      </c>
      <c r="K1922" s="26">
        <v>0</v>
      </c>
      <c r="L1922" s="26">
        <v>0</v>
      </c>
      <c r="M1922" s="26">
        <v>0</v>
      </c>
      <c r="N1922" s="26">
        <v>0</v>
      </c>
      <c r="P1922" s="73"/>
      <c r="Q1922" s="202">
        <v>1750</v>
      </c>
      <c r="R1922" s="210">
        <v>20</v>
      </c>
      <c r="S1922" s="205" t="s">
        <v>2623</v>
      </c>
      <c r="T1922" s="206"/>
      <c r="U1922" s="211"/>
      <c r="V1922" s="211"/>
      <c r="W1922" s="213"/>
      <c r="X1922" s="213"/>
    </row>
    <row r="1923" spans="1:24" ht="15" customHeight="1">
      <c r="C1923" s="3">
        <v>20</v>
      </c>
      <c r="D1923" s="15" t="s">
        <v>1372</v>
      </c>
      <c r="E1923" s="312" t="s">
        <v>167</v>
      </c>
      <c r="G1923" s="26">
        <v>0</v>
      </c>
      <c r="H1923" s="26">
        <v>417</v>
      </c>
      <c r="I1923" s="26">
        <v>0</v>
      </c>
      <c r="J1923" s="26">
        <v>0</v>
      </c>
      <c r="K1923" s="26">
        <v>0</v>
      </c>
      <c r="L1923" s="26">
        <v>0</v>
      </c>
      <c r="M1923" s="26">
        <v>0</v>
      </c>
      <c r="N1923" s="26">
        <v>0</v>
      </c>
      <c r="P1923" s="73"/>
      <c r="Q1923" s="202">
        <v>1751</v>
      </c>
      <c r="R1923" s="210">
        <v>20</v>
      </c>
      <c r="S1923" s="205" t="s">
        <v>1307</v>
      </c>
      <c r="T1923" s="206"/>
      <c r="U1923" s="211">
        <v>223096</v>
      </c>
      <c r="V1923" s="211">
        <v>15118.15</v>
      </c>
      <c r="W1923" s="213">
        <v>131556.57999999999</v>
      </c>
      <c r="X1923" s="213">
        <v>58.97</v>
      </c>
    </row>
    <row r="1924" spans="1:24" ht="15" customHeight="1">
      <c r="C1924" s="3">
        <v>20</v>
      </c>
      <c r="D1924" s="15" t="s">
        <v>1373</v>
      </c>
      <c r="E1924" s="312" t="s">
        <v>169</v>
      </c>
      <c r="G1924" s="26">
        <v>13083</v>
      </c>
      <c r="H1924" s="26">
        <v>20295</v>
      </c>
      <c r="I1924" s="26">
        <v>12142</v>
      </c>
      <c r="J1924" s="26">
        <v>12606</v>
      </c>
      <c r="K1924" s="26">
        <v>18000</v>
      </c>
      <c r="L1924" s="26">
        <v>4002</v>
      </c>
      <c r="M1924" s="26">
        <v>16000</v>
      </c>
      <c r="N1924" s="26">
        <v>16000</v>
      </c>
      <c r="P1924" s="73"/>
      <c r="Q1924" s="202">
        <v>1752</v>
      </c>
      <c r="R1924" s="210">
        <v>20</v>
      </c>
      <c r="S1924" s="205" t="s">
        <v>2621</v>
      </c>
      <c r="T1924" s="206"/>
      <c r="U1924" s="211"/>
      <c r="V1924" s="211"/>
      <c r="W1924" s="213"/>
      <c r="X1924" s="213"/>
    </row>
    <row r="1925" spans="1:24" ht="15" customHeight="1">
      <c r="C1925" s="3">
        <v>20</v>
      </c>
      <c r="D1925" s="15" t="s">
        <v>1374</v>
      </c>
      <c r="E1925" s="312" t="s">
        <v>175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P1925" s="2"/>
      <c r="Q1925" s="202">
        <v>1753</v>
      </c>
      <c r="R1925" s="210">
        <v>20</v>
      </c>
      <c r="S1925" s="205" t="s">
        <v>2622</v>
      </c>
      <c r="T1925" s="206"/>
      <c r="U1925" s="211"/>
      <c r="V1925" s="211"/>
      <c r="W1925" s="213"/>
      <c r="X1925" s="213"/>
    </row>
    <row r="1926" spans="1:24" ht="15" customHeight="1">
      <c r="C1926" s="3">
        <v>20</v>
      </c>
      <c r="D1926" s="15" t="s">
        <v>1375</v>
      </c>
      <c r="E1926" s="312" t="s">
        <v>244</v>
      </c>
      <c r="G1926" s="26">
        <v>1950</v>
      </c>
      <c r="H1926" s="26">
        <v>60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P1926" s="73"/>
      <c r="Q1926" s="202">
        <v>1754</v>
      </c>
      <c r="R1926" s="210">
        <v>20</v>
      </c>
      <c r="S1926" s="205" t="s">
        <v>1381</v>
      </c>
      <c r="T1926" s="206" t="s">
        <v>79</v>
      </c>
      <c r="U1926" s="211">
        <v>420863</v>
      </c>
      <c r="V1926" s="211">
        <v>34824.92</v>
      </c>
      <c r="W1926" s="213">
        <v>274770.28000000003</v>
      </c>
      <c r="X1926" s="213">
        <v>65.290000000000006</v>
      </c>
    </row>
    <row r="1927" spans="1:24" ht="15" customHeight="1">
      <c r="G1927" s="26"/>
      <c r="H1927" s="26"/>
      <c r="I1927" s="26"/>
      <c r="J1927" s="26"/>
      <c r="K1927" s="26"/>
      <c r="L1927" s="26"/>
      <c r="M1927" s="26"/>
      <c r="N1927" s="26"/>
      <c r="P1927" s="73"/>
      <c r="Q1927" s="202">
        <v>1755</v>
      </c>
      <c r="R1927" s="210">
        <v>20</v>
      </c>
      <c r="S1927" s="205" t="s">
        <v>1382</v>
      </c>
      <c r="T1927" s="206" t="s">
        <v>81</v>
      </c>
      <c r="U1927" s="211">
        <v>79908</v>
      </c>
      <c r="V1927" s="211">
        <v>6104.12</v>
      </c>
      <c r="W1927" s="213">
        <v>51392.56</v>
      </c>
      <c r="X1927" s="213">
        <v>64.31</v>
      </c>
    </row>
    <row r="1928" spans="1:24" s="23" customFormat="1" ht="15" customHeight="1">
      <c r="A1928" s="5" t="s">
        <v>163</v>
      </c>
      <c r="B1928" s="62" t="s">
        <v>2317</v>
      </c>
      <c r="C1928" s="3"/>
      <c r="D1928" s="323" t="s">
        <v>2328</v>
      </c>
      <c r="E1928" s="323"/>
      <c r="F1928" s="324"/>
      <c r="G1928" s="325">
        <f>SUM(G1918:G1927)</f>
        <v>16498</v>
      </c>
      <c r="H1928" s="325">
        <f t="shared" ref="H1928:N1928" si="163">SUM(H1918:H1927)</f>
        <v>22808</v>
      </c>
      <c r="I1928" s="325">
        <f t="shared" si="163"/>
        <v>14314</v>
      </c>
      <c r="J1928" s="325">
        <f t="shared" si="163"/>
        <v>15310</v>
      </c>
      <c r="K1928" s="325">
        <f t="shared" si="163"/>
        <v>19600</v>
      </c>
      <c r="L1928" s="325">
        <f t="shared" si="163"/>
        <v>4914</v>
      </c>
      <c r="M1928" s="325">
        <f t="shared" si="163"/>
        <v>20000</v>
      </c>
      <c r="N1928" s="325">
        <f t="shared" si="163"/>
        <v>20000</v>
      </c>
      <c r="O1928" s="19"/>
      <c r="P1928" s="73"/>
      <c r="Q1928" s="202">
        <v>1756</v>
      </c>
      <c r="R1928" s="210">
        <v>20</v>
      </c>
      <c r="S1928" s="205" t="s">
        <v>1383</v>
      </c>
      <c r="T1928" s="206" t="s">
        <v>83</v>
      </c>
      <c r="U1928" s="211">
        <v>0</v>
      </c>
      <c r="V1928" s="211">
        <v>0</v>
      </c>
      <c r="W1928" s="213">
        <v>0</v>
      </c>
      <c r="X1928" s="213">
        <v>0</v>
      </c>
    </row>
    <row r="1929" spans="1:24" s="46" customFormat="1" ht="15" customHeight="1">
      <c r="B1929" s="14"/>
      <c r="C1929" s="3"/>
      <c r="D1929" s="47"/>
      <c r="E1929" s="47"/>
      <c r="F1929" s="191"/>
      <c r="G1929" s="48"/>
      <c r="H1929" s="48"/>
      <c r="I1929" s="48"/>
      <c r="J1929" s="48"/>
      <c r="K1929" s="48"/>
      <c r="L1929" s="48"/>
      <c r="M1929" s="48"/>
      <c r="N1929" s="48"/>
      <c r="O1929" s="47"/>
      <c r="P1929" s="74"/>
      <c r="Q1929" s="202">
        <v>1757</v>
      </c>
      <c r="R1929" s="210">
        <v>20</v>
      </c>
      <c r="S1929" s="205" t="s">
        <v>1384</v>
      </c>
      <c r="T1929" s="206" t="s">
        <v>85</v>
      </c>
      <c r="U1929" s="211">
        <v>2921</v>
      </c>
      <c r="V1929" s="211">
        <v>0</v>
      </c>
      <c r="W1929" s="213">
        <v>2795.71</v>
      </c>
      <c r="X1929" s="213">
        <v>95.71</v>
      </c>
    </row>
    <row r="1930" spans="1:24" ht="15" customHeight="1">
      <c r="D1930" s="47" t="s">
        <v>2329</v>
      </c>
      <c r="G1930" s="26"/>
      <c r="H1930" s="26"/>
      <c r="I1930" s="26"/>
      <c r="J1930" s="26"/>
      <c r="K1930" s="26"/>
      <c r="L1930" s="26"/>
      <c r="M1930" s="26"/>
      <c r="N1930" s="26"/>
      <c r="P1930" s="199"/>
      <c r="Q1930" s="202">
        <v>1758</v>
      </c>
      <c r="R1930" s="210">
        <v>20</v>
      </c>
      <c r="S1930" s="205" t="s">
        <v>1385</v>
      </c>
      <c r="T1930" s="206" t="s">
        <v>87</v>
      </c>
      <c r="U1930" s="211">
        <v>32280</v>
      </c>
      <c r="V1930" s="211">
        <v>2740.48</v>
      </c>
      <c r="W1930" s="213">
        <v>21508.37</v>
      </c>
      <c r="X1930" s="213">
        <v>66.63</v>
      </c>
    </row>
    <row r="1931" spans="1:24" ht="15" customHeight="1">
      <c r="G1931" s="26"/>
      <c r="H1931" s="26"/>
      <c r="I1931" s="26"/>
      <c r="J1931" s="26"/>
      <c r="K1931" s="26"/>
      <c r="L1931" s="26"/>
      <c r="M1931" s="26"/>
      <c r="N1931" s="26"/>
      <c r="P1931" s="83"/>
      <c r="Q1931" s="202">
        <v>1759</v>
      </c>
      <c r="R1931" s="210">
        <v>20</v>
      </c>
      <c r="S1931" s="205" t="s">
        <v>1386</v>
      </c>
      <c r="T1931" s="206" t="s">
        <v>89</v>
      </c>
      <c r="U1931" s="211">
        <v>67591</v>
      </c>
      <c r="V1931" s="211">
        <v>6117.46</v>
      </c>
      <c r="W1931" s="213">
        <v>47945.440000000002</v>
      </c>
      <c r="X1931" s="213">
        <v>70.930000000000007</v>
      </c>
    </row>
    <row r="1932" spans="1:24" ht="15" customHeight="1">
      <c r="C1932" s="3">
        <v>20</v>
      </c>
      <c r="D1932" s="15" t="s">
        <v>1376</v>
      </c>
      <c r="E1932" s="312" t="s">
        <v>329</v>
      </c>
      <c r="G1932" s="26">
        <v>0</v>
      </c>
      <c r="H1932" s="26">
        <v>0</v>
      </c>
      <c r="I1932" s="26">
        <v>0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P1932" s="78"/>
      <c r="Q1932" s="202">
        <v>1760</v>
      </c>
      <c r="R1932" s="210">
        <v>20</v>
      </c>
      <c r="S1932" s="205" t="s">
        <v>1387</v>
      </c>
      <c r="T1932" s="206" t="s">
        <v>2554</v>
      </c>
      <c r="U1932" s="211">
        <v>0</v>
      </c>
      <c r="V1932" s="211">
        <v>0</v>
      </c>
      <c r="W1932" s="213">
        <v>0</v>
      </c>
      <c r="X1932" s="213">
        <v>0</v>
      </c>
    </row>
    <row r="1933" spans="1:24" ht="15" customHeight="1">
      <c r="C1933" s="3">
        <v>20</v>
      </c>
      <c r="D1933" s="15" t="s">
        <v>1377</v>
      </c>
      <c r="E1933" s="312" t="s">
        <v>165</v>
      </c>
      <c r="G1933" s="26">
        <v>0</v>
      </c>
      <c r="H1933" s="26">
        <v>0</v>
      </c>
      <c r="I1933" s="26">
        <v>0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P1933" s="78"/>
      <c r="Q1933" s="202">
        <v>1761</v>
      </c>
      <c r="R1933" s="210">
        <v>20</v>
      </c>
      <c r="S1933" s="205" t="s">
        <v>1388</v>
      </c>
      <c r="T1933" s="206" t="s">
        <v>536</v>
      </c>
      <c r="U1933" s="211">
        <v>0</v>
      </c>
      <c r="V1933" s="211">
        <v>0</v>
      </c>
      <c r="W1933" s="213">
        <v>0</v>
      </c>
      <c r="X1933" s="213">
        <v>0</v>
      </c>
    </row>
    <row r="1934" spans="1:24" ht="15" customHeight="1">
      <c r="C1934" s="3">
        <v>20</v>
      </c>
      <c r="D1934" s="15" t="s">
        <v>1378</v>
      </c>
      <c r="E1934" s="312" t="s">
        <v>167</v>
      </c>
      <c r="G1934" s="26">
        <v>0</v>
      </c>
      <c r="H1934" s="26">
        <v>0</v>
      </c>
      <c r="I1934" s="26">
        <v>0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P1934" s="73"/>
      <c r="Q1934" s="202">
        <v>1762</v>
      </c>
      <c r="R1934" s="210">
        <v>20</v>
      </c>
      <c r="S1934" s="205" t="s">
        <v>1389</v>
      </c>
      <c r="T1934" s="206" t="s">
        <v>91</v>
      </c>
      <c r="U1934" s="211">
        <v>30000</v>
      </c>
      <c r="V1934" s="211">
        <v>1855.58</v>
      </c>
      <c r="W1934" s="213">
        <v>11305.4</v>
      </c>
      <c r="X1934" s="213">
        <v>37.68</v>
      </c>
    </row>
    <row r="1935" spans="1:24" ht="15" customHeight="1">
      <c r="C1935" s="3">
        <v>20</v>
      </c>
      <c r="D1935" s="15" t="s">
        <v>1379</v>
      </c>
      <c r="E1935" s="312" t="s">
        <v>247</v>
      </c>
      <c r="G1935" s="26">
        <v>5829</v>
      </c>
      <c r="H1935" s="26">
        <v>2720</v>
      </c>
      <c r="I1935" s="26">
        <v>9475</v>
      </c>
      <c r="J1935" s="26">
        <v>6175</v>
      </c>
      <c r="K1935" s="26">
        <v>2000</v>
      </c>
      <c r="L1935" s="26">
        <v>0</v>
      </c>
      <c r="M1935" s="26">
        <v>0</v>
      </c>
      <c r="N1935" s="26">
        <f>26529+4800+5388</f>
        <v>36717</v>
      </c>
      <c r="O1935" s="275" t="s">
        <v>2884</v>
      </c>
      <c r="P1935" s="73"/>
      <c r="Q1935" s="202">
        <v>1763</v>
      </c>
      <c r="R1935" s="210">
        <v>20</v>
      </c>
      <c r="S1935" s="205" t="s">
        <v>1390</v>
      </c>
      <c r="T1935" s="206" t="s">
        <v>539</v>
      </c>
      <c r="U1935" s="211">
        <v>0</v>
      </c>
      <c r="V1935" s="211">
        <v>0</v>
      </c>
      <c r="W1935" s="213">
        <v>0</v>
      </c>
      <c r="X1935" s="213">
        <v>0</v>
      </c>
    </row>
    <row r="1936" spans="1:24" ht="15" customHeight="1">
      <c r="C1936" s="3">
        <v>20</v>
      </c>
      <c r="D1936" s="15" t="s">
        <v>2885</v>
      </c>
      <c r="E1936" s="312" t="s">
        <v>461</v>
      </c>
      <c r="G1936" s="26"/>
      <c r="H1936" s="26"/>
      <c r="I1936" s="26"/>
      <c r="J1936" s="26"/>
      <c r="K1936" s="26"/>
      <c r="L1936" s="26"/>
      <c r="M1936" s="26">
        <v>0</v>
      </c>
      <c r="N1936" s="26">
        <f>-N1935*0.8</f>
        <v>-29373.600000000002</v>
      </c>
      <c r="O1936" s="275" t="s">
        <v>2884</v>
      </c>
      <c r="P1936" s="73"/>
      <c r="Q1936" s="202"/>
      <c r="R1936" s="210"/>
      <c r="S1936" s="205"/>
      <c r="T1936" s="206"/>
      <c r="U1936" s="211"/>
      <c r="V1936" s="211"/>
      <c r="W1936" s="213"/>
      <c r="X1936" s="213"/>
    </row>
    <row r="1937" spans="1:24" ht="15" customHeight="1">
      <c r="C1937" s="3">
        <v>20</v>
      </c>
      <c r="D1937" s="15" t="s">
        <v>1380</v>
      </c>
      <c r="E1937" s="312" t="s">
        <v>244</v>
      </c>
      <c r="G1937" s="26">
        <v>0</v>
      </c>
      <c r="H1937" s="26">
        <v>3695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P1937" s="73"/>
      <c r="Q1937" s="202">
        <v>1764</v>
      </c>
      <c r="R1937" s="210">
        <v>20</v>
      </c>
      <c r="S1937" s="205" t="s">
        <v>1391</v>
      </c>
      <c r="T1937" s="206" t="s">
        <v>93</v>
      </c>
      <c r="U1937" s="211">
        <v>0</v>
      </c>
      <c r="V1937" s="211">
        <v>0</v>
      </c>
      <c r="W1937" s="213">
        <v>1718</v>
      </c>
      <c r="X1937" s="213">
        <v>0</v>
      </c>
    </row>
    <row r="1938" spans="1:24" ht="15" customHeight="1">
      <c r="G1938" s="26"/>
      <c r="H1938" s="26"/>
      <c r="I1938" s="26"/>
      <c r="J1938" s="26"/>
      <c r="K1938" s="26"/>
      <c r="L1938" s="26"/>
      <c r="M1938" s="26"/>
      <c r="N1938" s="26"/>
      <c r="P1938" s="73"/>
      <c r="Q1938" s="202">
        <v>1765</v>
      </c>
      <c r="R1938" s="210">
        <v>20</v>
      </c>
      <c r="S1938" s="205" t="s">
        <v>1392</v>
      </c>
      <c r="T1938" s="206" t="s">
        <v>95</v>
      </c>
      <c r="U1938" s="211">
        <v>3900</v>
      </c>
      <c r="V1938" s="211">
        <v>300</v>
      </c>
      <c r="W1938" s="213">
        <v>2400</v>
      </c>
      <c r="X1938" s="213">
        <v>61.54</v>
      </c>
    </row>
    <row r="1939" spans="1:24" s="24" customFormat="1" ht="15" customHeight="1">
      <c r="A1939" s="5" t="s">
        <v>245</v>
      </c>
      <c r="B1939" s="62" t="s">
        <v>2317</v>
      </c>
      <c r="C1939" s="3"/>
      <c r="D1939" s="323" t="s">
        <v>2330</v>
      </c>
      <c r="E1939" s="323"/>
      <c r="F1939" s="324"/>
      <c r="G1939" s="325">
        <f>SUM(G1930:G1938)</f>
        <v>5829</v>
      </c>
      <c r="H1939" s="325">
        <f t="shared" ref="H1939:N1939" si="164">SUM(H1930:H1938)</f>
        <v>6415</v>
      </c>
      <c r="I1939" s="325">
        <f t="shared" si="164"/>
        <v>9475</v>
      </c>
      <c r="J1939" s="325">
        <f t="shared" si="164"/>
        <v>6175</v>
      </c>
      <c r="K1939" s="325">
        <f t="shared" si="164"/>
        <v>2000</v>
      </c>
      <c r="L1939" s="325">
        <f t="shared" si="164"/>
        <v>0</v>
      </c>
      <c r="M1939" s="325">
        <f t="shared" si="164"/>
        <v>0</v>
      </c>
      <c r="N1939" s="325">
        <f t="shared" si="164"/>
        <v>7343.3999999999978</v>
      </c>
      <c r="O1939" s="20"/>
      <c r="P1939" s="73"/>
      <c r="Q1939" s="202">
        <v>1766</v>
      </c>
      <c r="R1939" s="210">
        <v>20</v>
      </c>
      <c r="S1939" s="205" t="s">
        <v>1393</v>
      </c>
      <c r="T1939" s="206" t="s">
        <v>97</v>
      </c>
      <c r="U1939" s="211">
        <v>6384</v>
      </c>
      <c r="V1939" s="211">
        <v>573</v>
      </c>
      <c r="W1939" s="213">
        <v>4380</v>
      </c>
      <c r="X1939" s="213">
        <v>68.61</v>
      </c>
    </row>
    <row r="1940" spans="1:24" ht="15" customHeight="1">
      <c r="G1940" s="26"/>
      <c r="H1940" s="26"/>
      <c r="I1940" s="26"/>
      <c r="J1940" s="26"/>
      <c r="K1940" s="26"/>
      <c r="L1940" s="26"/>
      <c r="M1940" s="26"/>
      <c r="N1940" s="26"/>
      <c r="P1940" s="73"/>
      <c r="Q1940" s="202">
        <v>1767</v>
      </c>
      <c r="R1940" s="210">
        <v>20</v>
      </c>
      <c r="S1940" s="205" t="s">
        <v>1394</v>
      </c>
      <c r="T1940" s="206" t="s">
        <v>99</v>
      </c>
      <c r="U1940" s="211">
        <v>708</v>
      </c>
      <c r="V1940" s="211">
        <v>0</v>
      </c>
      <c r="W1940" s="213">
        <v>629.64</v>
      </c>
      <c r="X1940" s="213">
        <v>88.93</v>
      </c>
    </row>
    <row r="1941" spans="1:24" s="43" customFormat="1" ht="15" customHeight="1" thickBot="1">
      <c r="B1941" s="43" t="s">
        <v>2317</v>
      </c>
      <c r="C1941" s="3"/>
      <c r="D1941" s="68" t="s">
        <v>1997</v>
      </c>
      <c r="E1941" s="326"/>
      <c r="F1941" s="327"/>
      <c r="G1941" s="328">
        <f>+G1939+G1928+G1916+G1898+G1881</f>
        <v>200778</v>
      </c>
      <c r="H1941" s="328">
        <f t="shared" ref="H1941:N1941" si="165">+H1939+H1928+H1916+H1898+H1881</f>
        <v>216168</v>
      </c>
      <c r="I1941" s="328">
        <f t="shared" si="165"/>
        <v>214123</v>
      </c>
      <c r="J1941" s="328">
        <f t="shared" si="165"/>
        <v>210286</v>
      </c>
      <c r="K1941" s="328">
        <f t="shared" si="165"/>
        <v>223096</v>
      </c>
      <c r="L1941" s="328">
        <f t="shared" si="165"/>
        <v>116441</v>
      </c>
      <c r="M1941" s="328">
        <f>+M1939+M1928+M1916+M1898+M1881</f>
        <v>226628.01</v>
      </c>
      <c r="N1941" s="328">
        <f t="shared" si="165"/>
        <v>236093.4</v>
      </c>
      <c r="O1941" s="44"/>
      <c r="P1941" s="73"/>
      <c r="Q1941" s="202">
        <v>1768</v>
      </c>
      <c r="R1941" s="210">
        <v>20</v>
      </c>
      <c r="S1941" s="205" t="s">
        <v>1395</v>
      </c>
      <c r="T1941" s="206" t="s">
        <v>101</v>
      </c>
      <c r="U1941" s="211">
        <v>0</v>
      </c>
      <c r="V1941" s="211">
        <v>0</v>
      </c>
      <c r="W1941" s="213">
        <v>0</v>
      </c>
      <c r="X1941" s="213">
        <v>0</v>
      </c>
    </row>
    <row r="1942" spans="1:24" s="45" customFormat="1" ht="15" customHeight="1" thickTop="1">
      <c r="C1942" s="3"/>
      <c r="D1942" s="47"/>
      <c r="E1942" s="15"/>
      <c r="F1942" s="105"/>
      <c r="G1942" s="26"/>
      <c r="H1942" s="26"/>
      <c r="I1942" s="26"/>
      <c r="J1942" s="26"/>
      <c r="K1942" s="26"/>
      <c r="L1942" s="26"/>
      <c r="M1942" s="26"/>
      <c r="N1942" s="26"/>
      <c r="O1942" s="42"/>
      <c r="P1942" s="74"/>
      <c r="Q1942" s="202">
        <v>1769</v>
      </c>
      <c r="R1942" s="210">
        <v>20</v>
      </c>
      <c r="S1942" s="205" t="s">
        <v>1396</v>
      </c>
      <c r="T1942" s="206" t="s">
        <v>103</v>
      </c>
      <c r="U1942" s="211">
        <v>0</v>
      </c>
      <c r="V1942" s="211">
        <v>0</v>
      </c>
      <c r="W1942" s="213">
        <v>0</v>
      </c>
      <c r="X1942" s="213">
        <v>0</v>
      </c>
    </row>
    <row r="1943" spans="1:24" s="45" customFormat="1" ht="15" customHeight="1">
      <c r="C1943" s="3"/>
      <c r="D1943" s="47"/>
      <c r="E1943" s="15"/>
      <c r="F1943" s="105"/>
      <c r="G1943" s="26"/>
      <c r="H1943" s="26"/>
      <c r="I1943" s="26"/>
      <c r="J1943" s="26"/>
      <c r="K1943" s="26"/>
      <c r="L1943" s="26"/>
      <c r="M1943" s="26"/>
      <c r="N1943" s="26"/>
      <c r="O1943" s="42"/>
      <c r="P1943" s="84"/>
      <c r="Q1943" s="202">
        <v>1770</v>
      </c>
      <c r="R1943" s="210">
        <v>20</v>
      </c>
      <c r="S1943" s="205" t="s">
        <v>2623</v>
      </c>
      <c r="T1943" s="206"/>
      <c r="U1943" s="211"/>
      <c r="V1943" s="211"/>
      <c r="W1943" s="213"/>
      <c r="X1943" s="213"/>
    </row>
    <row r="1944" spans="1:24" s="45" customFormat="1" ht="15" customHeight="1">
      <c r="C1944" s="3"/>
      <c r="D1944" s="47" t="s">
        <v>2332</v>
      </c>
      <c r="E1944" s="15"/>
      <c r="F1944" s="105"/>
      <c r="G1944" s="26"/>
      <c r="H1944" s="26"/>
      <c r="I1944" s="26"/>
      <c r="J1944" s="26"/>
      <c r="K1944" s="26"/>
      <c r="L1944" s="26"/>
      <c r="M1944" s="26"/>
      <c r="N1944" s="26"/>
      <c r="O1944" s="42"/>
      <c r="P1944" s="83"/>
      <c r="Q1944" s="202">
        <v>1771</v>
      </c>
      <c r="R1944" s="210">
        <v>20</v>
      </c>
      <c r="S1944" s="205" t="s">
        <v>2621</v>
      </c>
      <c r="T1944" s="206"/>
      <c r="U1944" s="211">
        <v>644555</v>
      </c>
      <c r="V1944" s="211">
        <v>52515.56</v>
      </c>
      <c r="W1944" s="213">
        <v>418845.4</v>
      </c>
      <c r="X1944" s="213">
        <v>0</v>
      </c>
    </row>
    <row r="1945" spans="1:24" s="45" customFormat="1" ht="15" customHeight="1">
      <c r="C1945" s="3"/>
      <c r="D1945" s="47"/>
      <c r="E1945" s="15"/>
      <c r="F1945" s="105"/>
      <c r="G1945" s="26"/>
      <c r="H1945" s="26"/>
      <c r="I1945" s="26"/>
      <c r="J1945" s="26"/>
      <c r="K1945" s="26"/>
      <c r="L1945" s="26"/>
      <c r="M1945" s="26"/>
      <c r="N1945" s="26"/>
      <c r="O1945" s="42"/>
      <c r="P1945" s="78"/>
      <c r="Q1945" s="202">
        <v>1772</v>
      </c>
      <c r="R1945" s="210">
        <v>20</v>
      </c>
      <c r="S1945" s="205" t="s">
        <v>104</v>
      </c>
      <c r="T1945" s="206"/>
      <c r="U1945" s="211"/>
      <c r="V1945" s="211"/>
      <c r="W1945" s="213"/>
      <c r="X1945" s="213"/>
    </row>
    <row r="1946" spans="1:24" s="5" customFormat="1" ht="15" customHeight="1">
      <c r="C1946" s="3"/>
      <c r="D1946" s="47" t="s">
        <v>2333</v>
      </c>
      <c r="E1946" s="15"/>
      <c r="F1946" s="105"/>
      <c r="G1946" s="26"/>
      <c r="H1946" s="26"/>
      <c r="I1946" s="26"/>
      <c r="J1946" s="26"/>
      <c r="K1946" s="26"/>
      <c r="L1946" s="26"/>
      <c r="M1946" s="26"/>
      <c r="N1946" s="26"/>
      <c r="O1946" s="6"/>
      <c r="P1946" s="78"/>
      <c r="Q1946" s="202">
        <v>1773</v>
      </c>
      <c r="R1946" s="210">
        <v>20</v>
      </c>
      <c r="S1946" s="205" t="s">
        <v>2624</v>
      </c>
      <c r="T1946" s="206"/>
      <c r="U1946" s="211"/>
      <c r="V1946" s="211"/>
      <c r="W1946" s="213"/>
      <c r="X1946" s="213"/>
    </row>
    <row r="1947" spans="1:24" ht="15" customHeight="1">
      <c r="G1947" s="26"/>
      <c r="H1947" s="26"/>
      <c r="I1947" s="26"/>
      <c r="J1947" s="26"/>
      <c r="K1947" s="26"/>
      <c r="L1947" s="26"/>
      <c r="M1947" s="26"/>
      <c r="N1947" s="26"/>
      <c r="P1947" s="73"/>
      <c r="Q1947" s="202">
        <v>1774</v>
      </c>
      <c r="R1947" s="210">
        <v>20</v>
      </c>
      <c r="S1947" s="205" t="s">
        <v>1397</v>
      </c>
      <c r="T1947" s="206" t="s">
        <v>115</v>
      </c>
      <c r="U1947" s="211">
        <v>1600</v>
      </c>
      <c r="V1947" s="211">
        <v>556.88</v>
      </c>
      <c r="W1947" s="213">
        <v>1077.23</v>
      </c>
      <c r="X1947" s="213">
        <v>67.33</v>
      </c>
    </row>
    <row r="1948" spans="1:24" ht="15" customHeight="1">
      <c r="C1948" s="3">
        <v>20</v>
      </c>
      <c r="D1948" s="15" t="s">
        <v>1381</v>
      </c>
      <c r="E1948" s="312" t="s">
        <v>79</v>
      </c>
      <c r="G1948" s="26">
        <v>345952</v>
      </c>
      <c r="H1948" s="26">
        <v>363097</v>
      </c>
      <c r="I1948" s="26">
        <v>386176</v>
      </c>
      <c r="J1948" s="26">
        <v>412849</v>
      </c>
      <c r="K1948" s="26">
        <v>420863</v>
      </c>
      <c r="L1948" s="26">
        <v>239945</v>
      </c>
      <c r="M1948" s="26">
        <f>309958*1.33</f>
        <v>412244.14</v>
      </c>
      <c r="N1948" s="26">
        <v>423000</v>
      </c>
      <c r="P1948" s="73"/>
      <c r="Q1948" s="202">
        <v>1775</v>
      </c>
      <c r="R1948" s="210">
        <v>20</v>
      </c>
      <c r="S1948" s="205" t="s">
        <v>1398</v>
      </c>
      <c r="T1948" s="206" t="s">
        <v>117</v>
      </c>
      <c r="U1948" s="211">
        <v>50</v>
      </c>
      <c r="V1948" s="211">
        <v>4.72</v>
      </c>
      <c r="W1948" s="213">
        <v>96.16</v>
      </c>
      <c r="X1948" s="213">
        <v>192.32</v>
      </c>
    </row>
    <row r="1949" spans="1:24" ht="15" customHeight="1">
      <c r="C1949" s="3">
        <v>20</v>
      </c>
      <c r="D1949" s="15" t="s">
        <v>1382</v>
      </c>
      <c r="E1949" s="312" t="s">
        <v>81</v>
      </c>
      <c r="G1949" s="26">
        <v>66264</v>
      </c>
      <c r="H1949" s="26">
        <v>64926</v>
      </c>
      <c r="I1949" s="26">
        <v>72103</v>
      </c>
      <c r="J1949" s="26">
        <v>79908</v>
      </c>
      <c r="K1949" s="26">
        <v>79908</v>
      </c>
      <c r="L1949" s="26">
        <v>45288</v>
      </c>
      <c r="M1949" s="26">
        <f>58052*1.33</f>
        <v>77209.16</v>
      </c>
      <c r="N1949" s="26">
        <v>79908</v>
      </c>
      <c r="P1949" s="78"/>
      <c r="Q1949" s="202">
        <v>1776</v>
      </c>
      <c r="R1949" s="210">
        <v>20</v>
      </c>
      <c r="S1949" s="205" t="s">
        <v>1399</v>
      </c>
      <c r="T1949" s="206" t="s">
        <v>119</v>
      </c>
      <c r="U1949" s="211">
        <v>2500</v>
      </c>
      <c r="V1949" s="211">
        <v>0</v>
      </c>
      <c r="W1949" s="213">
        <v>168.26</v>
      </c>
      <c r="X1949" s="213">
        <v>6.73</v>
      </c>
    </row>
    <row r="1950" spans="1:24" ht="15" customHeight="1">
      <c r="C1950" s="3">
        <v>20</v>
      </c>
      <c r="D1950" s="15" t="s">
        <v>1383</v>
      </c>
      <c r="E1950" s="312" t="s">
        <v>83</v>
      </c>
      <c r="G1950" s="26">
        <v>0</v>
      </c>
      <c r="H1950" s="26">
        <v>495</v>
      </c>
      <c r="I1950" s="26">
        <v>22</v>
      </c>
      <c r="J1950" s="26">
        <v>0</v>
      </c>
      <c r="K1950" s="26">
        <v>0</v>
      </c>
      <c r="L1950" s="26">
        <v>0</v>
      </c>
      <c r="M1950" s="26">
        <v>0</v>
      </c>
      <c r="N1950" s="26">
        <v>0</v>
      </c>
      <c r="P1950" s="85"/>
      <c r="Q1950" s="202">
        <v>1777</v>
      </c>
      <c r="R1950" s="210">
        <v>20</v>
      </c>
      <c r="S1950" s="205" t="s">
        <v>1400</v>
      </c>
      <c r="T1950" s="206" t="s">
        <v>121</v>
      </c>
      <c r="U1950" s="211">
        <v>1500</v>
      </c>
      <c r="V1950" s="211">
        <v>0</v>
      </c>
      <c r="W1950" s="213">
        <v>0</v>
      </c>
      <c r="X1950" s="213">
        <v>0</v>
      </c>
    </row>
    <row r="1951" spans="1:24" ht="15" customHeight="1">
      <c r="C1951" s="3">
        <v>20</v>
      </c>
      <c r="D1951" s="15" t="s">
        <v>1384</v>
      </c>
      <c r="E1951" s="312" t="s">
        <v>85</v>
      </c>
      <c r="G1951" s="26">
        <v>1115</v>
      </c>
      <c r="H1951" s="26">
        <v>0</v>
      </c>
      <c r="I1951" s="26">
        <v>2166</v>
      </c>
      <c r="J1951" s="26">
        <v>1063</v>
      </c>
      <c r="K1951" s="26">
        <v>2921</v>
      </c>
      <c r="L1951" s="26">
        <v>2796</v>
      </c>
      <c r="M1951" s="26">
        <f>2796*1.33</f>
        <v>3718.6800000000003</v>
      </c>
      <c r="N1951" s="26">
        <v>3800</v>
      </c>
      <c r="P1951" s="78"/>
      <c r="Q1951" s="202">
        <v>1778</v>
      </c>
      <c r="R1951" s="210">
        <v>20</v>
      </c>
      <c r="S1951" s="205" t="s">
        <v>1401</v>
      </c>
      <c r="T1951" s="206" t="s">
        <v>123</v>
      </c>
      <c r="U1951" s="211">
        <v>2000</v>
      </c>
      <c r="V1951" s="211">
        <v>0</v>
      </c>
      <c r="W1951" s="213">
        <v>31.42</v>
      </c>
      <c r="X1951" s="213">
        <v>1.57</v>
      </c>
    </row>
    <row r="1952" spans="1:24" ht="15" customHeight="1" thickBot="1">
      <c r="C1952" s="3">
        <v>20</v>
      </c>
      <c r="D1952" s="15" t="s">
        <v>1385</v>
      </c>
      <c r="E1952" s="312" t="s">
        <v>87</v>
      </c>
      <c r="G1952" s="26">
        <v>28959</v>
      </c>
      <c r="H1952" s="26">
        <v>29831</v>
      </c>
      <c r="I1952" s="26">
        <v>31601</v>
      </c>
      <c r="J1952" s="26">
        <v>32802</v>
      </c>
      <c r="K1952" s="26">
        <v>32280</v>
      </c>
      <c r="L1952" s="26">
        <v>18768</v>
      </c>
      <c r="M1952" s="26">
        <f>24282*1.33</f>
        <v>32295.06</v>
      </c>
      <c r="N1952" s="26">
        <v>33869</v>
      </c>
      <c r="P1952" s="82"/>
      <c r="Q1952" s="202">
        <v>1779</v>
      </c>
      <c r="R1952" s="210">
        <v>20</v>
      </c>
      <c r="S1952" s="205" t="s">
        <v>1402</v>
      </c>
      <c r="T1952" s="206" t="s">
        <v>125</v>
      </c>
      <c r="U1952" s="211">
        <v>250</v>
      </c>
      <c r="V1952" s="211">
        <v>0</v>
      </c>
      <c r="W1952" s="213">
        <v>0</v>
      </c>
      <c r="X1952" s="213">
        <v>0</v>
      </c>
    </row>
    <row r="1953" spans="1:24" ht="15" customHeight="1" thickTop="1">
      <c r="C1953" s="3">
        <v>20</v>
      </c>
      <c r="D1953" s="15" t="s">
        <v>1386</v>
      </c>
      <c r="E1953" s="312" t="s">
        <v>89</v>
      </c>
      <c r="G1953" s="26">
        <v>55031</v>
      </c>
      <c r="H1953" s="26">
        <v>57002</v>
      </c>
      <c r="I1953" s="26">
        <v>63784</v>
      </c>
      <c r="J1953" s="26">
        <v>71660</v>
      </c>
      <c r="K1953" s="26">
        <v>67591</v>
      </c>
      <c r="L1953" s="26">
        <v>41828</v>
      </c>
      <c r="M1953" s="26">
        <v>69463</v>
      </c>
      <c r="N1953" s="26">
        <v>75000</v>
      </c>
      <c r="P1953" s="87"/>
      <c r="Q1953" s="202">
        <v>1780</v>
      </c>
      <c r="R1953" s="210">
        <v>20</v>
      </c>
      <c r="S1953" s="205" t="s">
        <v>1403</v>
      </c>
      <c r="T1953" s="206" t="s">
        <v>106</v>
      </c>
      <c r="U1953" s="211">
        <v>21000</v>
      </c>
      <c r="V1953" s="211">
        <v>2453.4299999999998</v>
      </c>
      <c r="W1953" s="213">
        <v>18940.63</v>
      </c>
      <c r="X1953" s="213">
        <v>90.19</v>
      </c>
    </row>
    <row r="1954" spans="1:24" ht="15" customHeight="1">
      <c r="C1954" s="3">
        <v>20</v>
      </c>
      <c r="D1954" s="15" t="s">
        <v>1387</v>
      </c>
      <c r="E1954" s="312" t="s">
        <v>2554</v>
      </c>
      <c r="G1954" s="26">
        <v>0</v>
      </c>
      <c r="H1954" s="26">
        <v>0</v>
      </c>
      <c r="I1954" s="26">
        <v>0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P1954" s="88"/>
      <c r="Q1954" s="202">
        <v>1781</v>
      </c>
      <c r="R1954" s="210">
        <v>20</v>
      </c>
      <c r="S1954" s="205" t="s">
        <v>1404</v>
      </c>
      <c r="T1954" s="206" t="s">
        <v>197</v>
      </c>
      <c r="U1954" s="211">
        <v>0</v>
      </c>
      <c r="V1954" s="211">
        <v>0</v>
      </c>
      <c r="W1954" s="213">
        <v>0</v>
      </c>
      <c r="X1954" s="213">
        <v>0</v>
      </c>
    </row>
    <row r="1955" spans="1:24" ht="15" customHeight="1">
      <c r="C1955" s="3">
        <v>20</v>
      </c>
      <c r="D1955" s="15" t="s">
        <v>1388</v>
      </c>
      <c r="E1955" s="312" t="s">
        <v>536</v>
      </c>
      <c r="G1955" s="26">
        <v>0</v>
      </c>
      <c r="H1955" s="26">
        <v>0</v>
      </c>
      <c r="I1955" s="26">
        <v>0</v>
      </c>
      <c r="J1955" s="26">
        <v>-5</v>
      </c>
      <c r="K1955" s="26">
        <v>0</v>
      </c>
      <c r="L1955" s="26">
        <v>0</v>
      </c>
      <c r="M1955" s="26">
        <v>0</v>
      </c>
      <c r="N1955" s="26">
        <v>0</v>
      </c>
      <c r="P1955" s="83"/>
      <c r="Q1955" s="202">
        <v>1782</v>
      </c>
      <c r="R1955" s="210">
        <v>20</v>
      </c>
      <c r="S1955" s="205" t="s">
        <v>1405</v>
      </c>
      <c r="T1955" s="206" t="s">
        <v>128</v>
      </c>
      <c r="U1955" s="211">
        <v>0</v>
      </c>
      <c r="V1955" s="211">
        <v>0</v>
      </c>
      <c r="W1955" s="213">
        <v>221.74</v>
      </c>
      <c r="X1955" s="213">
        <v>0</v>
      </c>
    </row>
    <row r="1956" spans="1:24" ht="15" customHeight="1" thickBot="1">
      <c r="C1956" s="3">
        <v>20</v>
      </c>
      <c r="D1956" s="15" t="s">
        <v>1389</v>
      </c>
      <c r="E1956" s="312" t="s">
        <v>91</v>
      </c>
      <c r="G1956" s="26">
        <v>35614</v>
      </c>
      <c r="H1956" s="26">
        <v>24509</v>
      </c>
      <c r="I1956" s="26">
        <v>25670</v>
      </c>
      <c r="J1956" s="26">
        <v>21186</v>
      </c>
      <c r="K1956" s="26">
        <v>30000</v>
      </c>
      <c r="L1956" s="26">
        <v>9450</v>
      </c>
      <c r="M1956" s="26">
        <f>13232*1.33</f>
        <v>17598.560000000001</v>
      </c>
      <c r="N1956" s="26">
        <v>18000</v>
      </c>
      <c r="P1956" s="89"/>
      <c r="Q1956" s="202">
        <v>1783</v>
      </c>
      <c r="R1956" s="210">
        <v>20</v>
      </c>
      <c r="S1956" s="205" t="s">
        <v>1406</v>
      </c>
      <c r="T1956" s="206" t="s">
        <v>200</v>
      </c>
      <c r="U1956" s="211">
        <v>4105</v>
      </c>
      <c r="V1956" s="211">
        <v>267.43</v>
      </c>
      <c r="W1956" s="213">
        <v>2055.7199999999998</v>
      </c>
      <c r="X1956" s="213">
        <v>50.08</v>
      </c>
    </row>
    <row r="1957" spans="1:24" ht="15" customHeight="1" thickTop="1">
      <c r="C1957" s="3">
        <v>20</v>
      </c>
      <c r="D1957" s="15" t="s">
        <v>1390</v>
      </c>
      <c r="E1957" s="312" t="s">
        <v>539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P1957" s="83"/>
      <c r="Q1957" s="202">
        <v>1784</v>
      </c>
      <c r="R1957" s="210">
        <v>20</v>
      </c>
      <c r="S1957" s="205" t="s">
        <v>1407</v>
      </c>
      <c r="T1957" s="206" t="s">
        <v>202</v>
      </c>
      <c r="U1957" s="211">
        <v>0</v>
      </c>
      <c r="V1957" s="211">
        <v>0</v>
      </c>
      <c r="W1957" s="213">
        <v>0</v>
      </c>
      <c r="X1957" s="213">
        <v>0</v>
      </c>
    </row>
    <row r="1958" spans="1:24" ht="15" customHeight="1">
      <c r="C1958" s="3">
        <v>20</v>
      </c>
      <c r="D1958" s="15" t="s">
        <v>1391</v>
      </c>
      <c r="E1958" s="312" t="s">
        <v>93</v>
      </c>
      <c r="G1958" s="26">
        <v>0</v>
      </c>
      <c r="H1958" s="26">
        <v>5472</v>
      </c>
      <c r="I1958" s="26">
        <v>2916</v>
      </c>
      <c r="J1958" s="26">
        <v>4416</v>
      </c>
      <c r="K1958" s="26">
        <v>0</v>
      </c>
      <c r="L1958" s="26">
        <v>1718</v>
      </c>
      <c r="M1958" s="26">
        <v>1718</v>
      </c>
      <c r="N1958" s="26">
        <v>2000</v>
      </c>
      <c r="P1958" s="77"/>
      <c r="Q1958" s="202">
        <v>1785</v>
      </c>
      <c r="R1958" s="210">
        <v>20</v>
      </c>
      <c r="S1958" s="205" t="s">
        <v>1408</v>
      </c>
      <c r="T1958" s="206" t="s">
        <v>130</v>
      </c>
      <c r="U1958" s="211">
        <v>1000</v>
      </c>
      <c r="V1958" s="211">
        <v>54.77</v>
      </c>
      <c r="W1958" s="213">
        <v>965.05</v>
      </c>
      <c r="X1958" s="213">
        <v>96.51</v>
      </c>
    </row>
    <row r="1959" spans="1:24" ht="15" customHeight="1">
      <c r="C1959" s="3">
        <v>20</v>
      </c>
      <c r="D1959" s="15" t="s">
        <v>1392</v>
      </c>
      <c r="E1959" s="312" t="s">
        <v>95</v>
      </c>
      <c r="G1959" s="26">
        <v>2175</v>
      </c>
      <c r="H1959" s="26">
        <v>3163</v>
      </c>
      <c r="I1959" s="26">
        <v>3900</v>
      </c>
      <c r="J1959" s="26">
        <v>3650</v>
      </c>
      <c r="K1959" s="26">
        <v>3900</v>
      </c>
      <c r="L1959" s="26">
        <v>2100</v>
      </c>
      <c r="M1959" s="26">
        <f>2700*1.33</f>
        <v>3591</v>
      </c>
      <c r="N1959" s="26">
        <v>3900</v>
      </c>
      <c r="P1959" s="77"/>
      <c r="Q1959" s="202">
        <v>1786</v>
      </c>
      <c r="R1959" s="210">
        <v>20</v>
      </c>
      <c r="S1959" s="205" t="s">
        <v>1409</v>
      </c>
      <c r="T1959" s="206" t="s">
        <v>132</v>
      </c>
      <c r="U1959" s="211">
        <v>5000</v>
      </c>
      <c r="V1959" s="211">
        <v>911.61</v>
      </c>
      <c r="W1959" s="213">
        <v>15255.44</v>
      </c>
      <c r="X1959" s="213">
        <v>305.11</v>
      </c>
    </row>
    <row r="1960" spans="1:24" ht="15" customHeight="1">
      <c r="C1960" s="3">
        <v>20</v>
      </c>
      <c r="D1960" s="15" t="s">
        <v>1393</v>
      </c>
      <c r="E1960" s="312" t="s">
        <v>97</v>
      </c>
      <c r="G1960" s="26">
        <v>3759</v>
      </c>
      <c r="H1960" s="26">
        <v>4317</v>
      </c>
      <c r="I1960" s="26">
        <v>5163</v>
      </c>
      <c r="J1960" s="26">
        <v>5969</v>
      </c>
      <c r="K1960" s="26">
        <v>6384</v>
      </c>
      <c r="L1960" s="26">
        <v>3807</v>
      </c>
      <c r="M1960" s="26">
        <f>4953*1.33</f>
        <v>6587.4900000000007</v>
      </c>
      <c r="N1960" s="26">
        <v>7408</v>
      </c>
      <c r="P1960" s="77"/>
      <c r="Q1960" s="202">
        <v>1787</v>
      </c>
      <c r="R1960" s="210">
        <v>20</v>
      </c>
      <c r="S1960" s="205" t="s">
        <v>1410</v>
      </c>
      <c r="T1960" s="206" t="s">
        <v>206</v>
      </c>
      <c r="U1960" s="211">
        <v>200</v>
      </c>
      <c r="V1960" s="211">
        <v>23.58</v>
      </c>
      <c r="W1960" s="213">
        <v>56.06</v>
      </c>
      <c r="X1960" s="213">
        <v>28.03</v>
      </c>
    </row>
    <row r="1961" spans="1:24" ht="15" customHeight="1">
      <c r="C1961" s="3">
        <v>20</v>
      </c>
      <c r="D1961" s="15" t="s">
        <v>1394</v>
      </c>
      <c r="E1961" s="312" t="s">
        <v>99</v>
      </c>
      <c r="G1961" s="26">
        <v>644</v>
      </c>
      <c r="H1961" s="26">
        <v>644</v>
      </c>
      <c r="I1961" s="26">
        <v>644</v>
      </c>
      <c r="J1961" s="26">
        <v>703</v>
      </c>
      <c r="K1961" s="26">
        <v>708</v>
      </c>
      <c r="L1961" s="26">
        <v>630</v>
      </c>
      <c r="M1961" s="26">
        <f>629*1.33</f>
        <v>836.57</v>
      </c>
      <c r="N1961" s="26">
        <v>850</v>
      </c>
      <c r="P1961" s="77"/>
      <c r="Q1961" s="202">
        <v>1788</v>
      </c>
      <c r="R1961" s="210">
        <v>20</v>
      </c>
      <c r="S1961" s="205" t="s">
        <v>1411</v>
      </c>
      <c r="T1961" s="206" t="s">
        <v>208</v>
      </c>
      <c r="U1961" s="211">
        <v>150000</v>
      </c>
      <c r="V1961" s="211">
        <v>541</v>
      </c>
      <c r="W1961" s="213">
        <v>18087</v>
      </c>
      <c r="X1961" s="213">
        <v>12.06</v>
      </c>
    </row>
    <row r="1962" spans="1:24" ht="15" customHeight="1">
      <c r="C1962" s="3">
        <v>20</v>
      </c>
      <c r="D1962" s="15" t="s">
        <v>1395</v>
      </c>
      <c r="E1962" s="312" t="s">
        <v>101</v>
      </c>
      <c r="G1962" s="26">
        <v>0</v>
      </c>
      <c r="H1962" s="26">
        <v>0</v>
      </c>
      <c r="I1962" s="26">
        <v>0</v>
      </c>
      <c r="J1962" s="26">
        <v>0</v>
      </c>
      <c r="K1962" s="26">
        <v>0</v>
      </c>
      <c r="L1962" s="26">
        <v>0</v>
      </c>
      <c r="M1962" s="26">
        <v>0</v>
      </c>
      <c r="N1962" s="26">
        <v>0</v>
      </c>
      <c r="P1962" s="78"/>
      <c r="Q1962" s="202">
        <v>1789</v>
      </c>
      <c r="R1962" s="210">
        <v>20</v>
      </c>
      <c r="S1962" s="205" t="s">
        <v>1412</v>
      </c>
      <c r="T1962" s="206" t="s">
        <v>210</v>
      </c>
      <c r="U1962" s="211">
        <v>0</v>
      </c>
      <c r="V1962" s="211">
        <v>0</v>
      </c>
      <c r="W1962" s="213">
        <v>56</v>
      </c>
      <c r="X1962" s="213">
        <v>0</v>
      </c>
    </row>
    <row r="1963" spans="1:24" ht="15" customHeight="1">
      <c r="C1963" s="3">
        <v>20</v>
      </c>
      <c r="D1963" s="15" t="s">
        <v>1396</v>
      </c>
      <c r="E1963" s="312" t="s">
        <v>103</v>
      </c>
      <c r="G1963" s="26">
        <v>0</v>
      </c>
      <c r="H1963" s="26">
        <v>0</v>
      </c>
      <c r="I1963" s="26">
        <v>0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P1963" s="78"/>
      <c r="Q1963" s="202">
        <v>1790</v>
      </c>
      <c r="R1963" s="210">
        <v>20</v>
      </c>
      <c r="S1963" s="205" t="s">
        <v>1413</v>
      </c>
      <c r="T1963" s="206" t="s">
        <v>134</v>
      </c>
      <c r="U1963" s="211">
        <v>0</v>
      </c>
      <c r="V1963" s="211">
        <v>0</v>
      </c>
      <c r="W1963" s="213">
        <v>0</v>
      </c>
      <c r="X1963" s="213">
        <v>0</v>
      </c>
    </row>
    <row r="1964" spans="1:24" ht="15" customHeight="1">
      <c r="G1964" s="26"/>
      <c r="H1964" s="26"/>
      <c r="I1964" s="26"/>
      <c r="J1964" s="26"/>
      <c r="K1964" s="26"/>
      <c r="L1964" s="26"/>
      <c r="M1964" s="26"/>
      <c r="N1964" s="26"/>
      <c r="P1964" s="78"/>
      <c r="Q1964" s="202">
        <v>1791</v>
      </c>
      <c r="R1964" s="210">
        <v>20</v>
      </c>
      <c r="S1964" s="205" t="s">
        <v>1414</v>
      </c>
      <c r="T1964" s="206" t="s">
        <v>213</v>
      </c>
      <c r="U1964" s="211">
        <v>0</v>
      </c>
      <c r="V1964" s="211">
        <v>0</v>
      </c>
      <c r="W1964" s="213">
        <v>0</v>
      </c>
      <c r="X1964" s="213">
        <v>0</v>
      </c>
    </row>
    <row r="1965" spans="1:24" s="72" customFormat="1" ht="15" customHeight="1">
      <c r="A1965" s="5" t="s">
        <v>2410</v>
      </c>
      <c r="B1965" s="62" t="s">
        <v>2317</v>
      </c>
      <c r="C1965" s="3"/>
      <c r="D1965" s="323" t="s">
        <v>3087</v>
      </c>
      <c r="E1965" s="323"/>
      <c r="F1965" s="324"/>
      <c r="G1965" s="325">
        <f>SUM(G1946:G1964)</f>
        <v>539513</v>
      </c>
      <c r="H1965" s="325">
        <f t="shared" ref="H1965:N1965" si="166">SUM(H1946:H1964)</f>
        <v>553456</v>
      </c>
      <c r="I1965" s="325">
        <f t="shared" si="166"/>
        <v>594145</v>
      </c>
      <c r="J1965" s="325">
        <f t="shared" si="166"/>
        <v>634201</v>
      </c>
      <c r="K1965" s="325">
        <f t="shared" si="166"/>
        <v>644555</v>
      </c>
      <c r="L1965" s="325">
        <f t="shared" si="166"/>
        <v>366330</v>
      </c>
      <c r="M1965" s="325">
        <f t="shared" si="166"/>
        <v>625261.66</v>
      </c>
      <c r="N1965" s="325">
        <f t="shared" si="166"/>
        <v>647735</v>
      </c>
      <c r="O1965" s="71"/>
      <c r="P1965" s="78"/>
      <c r="Q1965" s="202">
        <v>1792</v>
      </c>
      <c r="R1965" s="210">
        <v>20</v>
      </c>
      <c r="S1965" s="205" t="s">
        <v>2623</v>
      </c>
      <c r="T1965" s="206"/>
      <c r="U1965" s="211"/>
      <c r="V1965" s="211"/>
      <c r="W1965" s="213"/>
      <c r="X1965" s="213"/>
    </row>
    <row r="1966" spans="1:24" s="46" customFormat="1" ht="15" customHeight="1">
      <c r="B1966" s="14"/>
      <c r="C1966" s="3"/>
      <c r="D1966" s="47"/>
      <c r="E1966" s="47"/>
      <c r="F1966" s="191"/>
      <c r="G1966" s="48"/>
      <c r="H1966" s="48"/>
      <c r="I1966" s="48"/>
      <c r="J1966" s="48"/>
      <c r="K1966" s="48"/>
      <c r="L1966" s="48"/>
      <c r="M1966" s="48"/>
      <c r="N1966" s="48"/>
      <c r="O1966" s="47"/>
      <c r="P1966" s="78"/>
      <c r="Q1966" s="202">
        <v>1793</v>
      </c>
      <c r="R1966" s="210">
        <v>20</v>
      </c>
      <c r="S1966" s="205" t="s">
        <v>104</v>
      </c>
      <c r="T1966" s="206"/>
      <c r="U1966" s="211">
        <v>189205</v>
      </c>
      <c r="V1966" s="211">
        <v>4813.42</v>
      </c>
      <c r="W1966" s="213">
        <v>57010.71</v>
      </c>
      <c r="X1966" s="213">
        <v>0</v>
      </c>
    </row>
    <row r="1967" spans="1:24" ht="15" customHeight="1">
      <c r="D1967" s="47" t="s">
        <v>2334</v>
      </c>
      <c r="G1967" s="26"/>
      <c r="H1967" s="26"/>
      <c r="I1967" s="26"/>
      <c r="J1967" s="26"/>
      <c r="K1967" s="26"/>
      <c r="L1967" s="26"/>
      <c r="M1967" s="26"/>
      <c r="N1967" s="26"/>
      <c r="P1967" s="79"/>
      <c r="Q1967" s="202">
        <v>1794</v>
      </c>
      <c r="R1967" s="210">
        <v>20</v>
      </c>
      <c r="S1967" s="205" t="s">
        <v>135</v>
      </c>
      <c r="T1967" s="206"/>
      <c r="U1967" s="211"/>
      <c r="V1967" s="211"/>
      <c r="W1967" s="213"/>
      <c r="X1967" s="213"/>
    </row>
    <row r="1968" spans="1:24" ht="15" customHeight="1">
      <c r="G1968" s="26"/>
      <c r="H1968" s="26"/>
      <c r="I1968" s="26"/>
      <c r="J1968" s="26"/>
      <c r="K1968" s="26"/>
      <c r="L1968" s="26"/>
      <c r="M1968" s="26"/>
      <c r="N1968" s="26"/>
      <c r="P1968" s="90"/>
      <c r="Q1968" s="202">
        <v>1795</v>
      </c>
      <c r="R1968" s="210">
        <v>20</v>
      </c>
      <c r="S1968" s="205" t="s">
        <v>2626</v>
      </c>
      <c r="T1968" s="206"/>
      <c r="U1968" s="211"/>
      <c r="V1968" s="211"/>
      <c r="W1968" s="213"/>
      <c r="X1968" s="213"/>
    </row>
    <row r="1969" spans="3:24" ht="15" customHeight="1" thickBot="1">
      <c r="C1969" s="3">
        <v>20</v>
      </c>
      <c r="D1969" s="15" t="s">
        <v>1397</v>
      </c>
      <c r="E1969" s="312" t="s">
        <v>115</v>
      </c>
      <c r="G1969" s="26">
        <v>227</v>
      </c>
      <c r="H1969" s="26">
        <v>1611</v>
      </c>
      <c r="I1969" s="26">
        <v>1904</v>
      </c>
      <c r="J1969" s="26">
        <v>3367</v>
      </c>
      <c r="K1969" s="26">
        <v>1600</v>
      </c>
      <c r="L1969" s="26">
        <v>520</v>
      </c>
      <c r="M1969" s="26">
        <v>891</v>
      </c>
      <c r="N1969" s="26">
        <v>1600</v>
      </c>
      <c r="O1969" s="285"/>
      <c r="P1969" s="91"/>
      <c r="Q1969" s="202">
        <v>1796</v>
      </c>
      <c r="R1969" s="210">
        <v>20</v>
      </c>
      <c r="S1969" s="205" t="s">
        <v>1415</v>
      </c>
      <c r="T1969" s="206" t="s">
        <v>137</v>
      </c>
      <c r="U1969" s="211">
        <v>2400</v>
      </c>
      <c r="V1969" s="211">
        <v>310.19</v>
      </c>
      <c r="W1969" s="213">
        <v>2768.17</v>
      </c>
      <c r="X1969" s="213">
        <v>115.34</v>
      </c>
    </row>
    <row r="1970" spans="3:24" ht="15" customHeight="1" thickTop="1">
      <c r="C1970" s="3">
        <v>20</v>
      </c>
      <c r="D1970" s="15" t="s">
        <v>1398</v>
      </c>
      <c r="E1970" s="312" t="s">
        <v>117</v>
      </c>
      <c r="G1970" s="26">
        <v>14</v>
      </c>
      <c r="H1970" s="26">
        <v>45</v>
      </c>
      <c r="I1970" s="26">
        <v>62</v>
      </c>
      <c r="J1970" s="26">
        <v>84</v>
      </c>
      <c r="K1970" s="26">
        <v>50</v>
      </c>
      <c r="L1970" s="26">
        <v>91</v>
      </c>
      <c r="M1970" s="26">
        <v>156</v>
      </c>
      <c r="N1970" s="26">
        <v>50</v>
      </c>
      <c r="O1970" s="285"/>
      <c r="P1970" s="92"/>
      <c r="Q1970" s="202">
        <v>1797</v>
      </c>
      <c r="R1970" s="210">
        <v>20</v>
      </c>
      <c r="S1970" s="205" t="s">
        <v>1416</v>
      </c>
      <c r="T1970" s="206" t="s">
        <v>216</v>
      </c>
      <c r="U1970" s="211">
        <v>0</v>
      </c>
      <c r="V1970" s="211">
        <v>0</v>
      </c>
      <c r="W1970" s="213">
        <v>0</v>
      </c>
      <c r="X1970" s="213">
        <v>0</v>
      </c>
    </row>
    <row r="1971" spans="3:24" ht="15" customHeight="1">
      <c r="C1971" s="3">
        <v>20</v>
      </c>
      <c r="D1971" s="15" t="s">
        <v>1399</v>
      </c>
      <c r="E1971" s="312" t="s">
        <v>119</v>
      </c>
      <c r="G1971" s="26">
        <v>1942</v>
      </c>
      <c r="H1971" s="26">
        <v>2264</v>
      </c>
      <c r="I1971" s="26">
        <v>1345</v>
      </c>
      <c r="J1971" s="26">
        <v>2718</v>
      </c>
      <c r="K1971" s="26">
        <v>2500</v>
      </c>
      <c r="L1971" s="26">
        <v>168</v>
      </c>
      <c r="M1971" s="26">
        <v>288</v>
      </c>
      <c r="N1971" s="26">
        <v>2500</v>
      </c>
      <c r="O1971" s="285"/>
      <c r="P1971" s="78"/>
      <c r="Q1971" s="202">
        <v>1798</v>
      </c>
      <c r="R1971" s="210">
        <v>20</v>
      </c>
      <c r="S1971" s="205" t="s">
        <v>1417</v>
      </c>
      <c r="T1971" s="206" t="s">
        <v>139</v>
      </c>
      <c r="U1971" s="211">
        <v>35000</v>
      </c>
      <c r="V1971" s="211">
        <v>198</v>
      </c>
      <c r="W1971" s="213">
        <v>10689.8</v>
      </c>
      <c r="X1971" s="213">
        <v>30.54</v>
      </c>
    </row>
    <row r="1972" spans="3:24" ht="15" customHeight="1">
      <c r="C1972" s="3">
        <v>20</v>
      </c>
      <c r="D1972" s="15" t="s">
        <v>1400</v>
      </c>
      <c r="E1972" s="312" t="s">
        <v>121</v>
      </c>
      <c r="G1972" s="26">
        <v>1751</v>
      </c>
      <c r="H1972" s="26">
        <v>1059</v>
      </c>
      <c r="I1972" s="26">
        <v>557</v>
      </c>
      <c r="J1972" s="26">
        <v>280</v>
      </c>
      <c r="K1972" s="26">
        <v>1500</v>
      </c>
      <c r="L1972" s="26">
        <v>0</v>
      </c>
      <c r="M1972" s="26">
        <v>0</v>
      </c>
      <c r="N1972" s="26">
        <v>1500</v>
      </c>
      <c r="O1972" s="285"/>
      <c r="P1972" s="78"/>
      <c r="Q1972" s="202">
        <v>1799</v>
      </c>
      <c r="R1972" s="210">
        <v>20</v>
      </c>
      <c r="S1972" s="205" t="s">
        <v>2491</v>
      </c>
      <c r="T1972" s="206" t="s">
        <v>2492</v>
      </c>
      <c r="U1972" s="211">
        <v>0</v>
      </c>
      <c r="V1972" s="211">
        <v>0</v>
      </c>
      <c r="W1972" s="213">
        <v>-3000</v>
      </c>
      <c r="X1972" s="213">
        <v>0</v>
      </c>
    </row>
    <row r="1973" spans="3:24" ht="15" customHeight="1">
      <c r="C1973" s="3">
        <v>20</v>
      </c>
      <c r="D1973" s="15" t="s">
        <v>1401</v>
      </c>
      <c r="E1973" s="312" t="s">
        <v>123</v>
      </c>
      <c r="G1973" s="26">
        <v>156</v>
      </c>
      <c r="H1973" s="26">
        <v>277</v>
      </c>
      <c r="I1973" s="26">
        <v>745</v>
      </c>
      <c r="J1973" s="26">
        <v>620</v>
      </c>
      <c r="K1973" s="26">
        <v>2000</v>
      </c>
      <c r="L1973" s="26">
        <v>31</v>
      </c>
      <c r="M1973" s="26">
        <v>53</v>
      </c>
      <c r="N1973" s="26">
        <v>2000</v>
      </c>
      <c r="O1973" s="285"/>
      <c r="P1973" s="87"/>
      <c r="Q1973" s="202">
        <v>1800</v>
      </c>
      <c r="R1973" s="210">
        <v>20</v>
      </c>
      <c r="S1973" s="205" t="s">
        <v>1418</v>
      </c>
      <c r="T1973" s="206" t="s">
        <v>141</v>
      </c>
      <c r="U1973" s="211">
        <v>0</v>
      </c>
      <c r="V1973" s="211">
        <v>0</v>
      </c>
      <c r="W1973" s="213">
        <v>0</v>
      </c>
      <c r="X1973" s="213">
        <v>0</v>
      </c>
    </row>
    <row r="1974" spans="3:24" ht="15" customHeight="1">
      <c r="C1974" s="3">
        <v>20</v>
      </c>
      <c r="D1974" s="15" t="s">
        <v>1402</v>
      </c>
      <c r="E1974" s="312" t="s">
        <v>125</v>
      </c>
      <c r="G1974" s="26">
        <v>128</v>
      </c>
      <c r="H1974" s="26">
        <v>0</v>
      </c>
      <c r="I1974" s="26">
        <v>0</v>
      </c>
      <c r="J1974" s="26">
        <v>0</v>
      </c>
      <c r="K1974" s="26">
        <v>250</v>
      </c>
      <c r="L1974" s="26">
        <v>0</v>
      </c>
      <c r="M1974" s="26">
        <v>0</v>
      </c>
      <c r="N1974" s="26">
        <v>250</v>
      </c>
      <c r="O1974" s="285"/>
      <c r="P1974" s="78"/>
      <c r="Q1974" s="202">
        <v>1801</v>
      </c>
      <c r="R1974" s="210">
        <v>20</v>
      </c>
      <c r="S1974" s="205" t="s">
        <v>1419</v>
      </c>
      <c r="T1974" s="206" t="s">
        <v>143</v>
      </c>
      <c r="U1974" s="211">
        <v>0</v>
      </c>
      <c r="V1974" s="211">
        <v>0</v>
      </c>
      <c r="W1974" s="213">
        <v>0</v>
      </c>
      <c r="X1974" s="213">
        <v>0</v>
      </c>
    </row>
    <row r="1975" spans="3:24" ht="15" customHeight="1">
      <c r="C1975" s="3">
        <v>20</v>
      </c>
      <c r="D1975" s="15" t="s">
        <v>1403</v>
      </c>
      <c r="E1975" s="312" t="s">
        <v>106</v>
      </c>
      <c r="G1975" s="26">
        <v>115</v>
      </c>
      <c r="H1975" s="26">
        <v>18077</v>
      </c>
      <c r="I1975" s="26">
        <v>22703</v>
      </c>
      <c r="J1975" s="26">
        <v>31243</v>
      </c>
      <c r="K1975" s="26">
        <v>21000</v>
      </c>
      <c r="L1975" s="26">
        <v>16487</v>
      </c>
      <c r="M1975" s="26">
        <v>28263</v>
      </c>
      <c r="N1975" s="26">
        <v>23100</v>
      </c>
      <c r="O1975" s="285" t="s">
        <v>2694</v>
      </c>
      <c r="P1975" s="78"/>
      <c r="Q1975" s="202">
        <v>1802</v>
      </c>
      <c r="R1975" s="210">
        <v>20</v>
      </c>
      <c r="S1975" s="205" t="s">
        <v>1420</v>
      </c>
      <c r="T1975" s="206" t="s">
        <v>145</v>
      </c>
      <c r="U1975" s="211">
        <v>155000</v>
      </c>
      <c r="V1975" s="211">
        <v>13141.99</v>
      </c>
      <c r="W1975" s="213">
        <v>95448.87</v>
      </c>
      <c r="X1975" s="213">
        <v>61.58</v>
      </c>
    </row>
    <row r="1976" spans="3:24" ht="15" customHeight="1">
      <c r="C1976" s="3">
        <v>20</v>
      </c>
      <c r="D1976" s="15" t="s">
        <v>1404</v>
      </c>
      <c r="E1976" s="312" t="s">
        <v>197</v>
      </c>
      <c r="G1976" s="26">
        <v>0</v>
      </c>
      <c r="H1976" s="26">
        <v>0</v>
      </c>
      <c r="I1976" s="26">
        <v>0</v>
      </c>
      <c r="J1976" s="26">
        <v>0</v>
      </c>
      <c r="K1976" s="26">
        <v>0</v>
      </c>
      <c r="L1976" s="26">
        <v>0</v>
      </c>
      <c r="M1976" s="26">
        <v>0</v>
      </c>
      <c r="N1976" s="26">
        <v>0</v>
      </c>
      <c r="O1976" s="285"/>
      <c r="P1976" s="78"/>
      <c r="Q1976" s="202">
        <v>1803</v>
      </c>
      <c r="R1976" s="210">
        <v>20</v>
      </c>
      <c r="S1976" s="205" t="s">
        <v>1421</v>
      </c>
      <c r="T1976" s="206" t="s">
        <v>147</v>
      </c>
      <c r="U1976" s="211">
        <v>250</v>
      </c>
      <c r="V1976" s="211">
        <v>0</v>
      </c>
      <c r="W1976" s="213">
        <v>126.85</v>
      </c>
      <c r="X1976" s="213">
        <v>50.74</v>
      </c>
    </row>
    <row r="1977" spans="3:24" ht="15" customHeight="1">
      <c r="C1977" s="3">
        <v>20</v>
      </c>
      <c r="D1977" s="15" t="s">
        <v>1405</v>
      </c>
      <c r="E1977" s="312" t="s">
        <v>128</v>
      </c>
      <c r="G1977" s="26">
        <v>57</v>
      </c>
      <c r="H1977" s="26">
        <v>145</v>
      </c>
      <c r="I1977" s="26">
        <v>0</v>
      </c>
      <c r="J1977" s="26">
        <v>608</v>
      </c>
      <c r="K1977" s="26">
        <v>0</v>
      </c>
      <c r="L1977" s="26">
        <v>222</v>
      </c>
      <c r="M1977" s="26">
        <v>0</v>
      </c>
      <c r="N1977" s="26">
        <v>600</v>
      </c>
      <c r="O1977" s="285" t="s">
        <v>2701</v>
      </c>
      <c r="P1977" s="78"/>
      <c r="Q1977" s="202">
        <v>1804</v>
      </c>
      <c r="R1977" s="210">
        <v>20</v>
      </c>
      <c r="S1977" s="205" t="s">
        <v>1422</v>
      </c>
      <c r="T1977" s="206" t="s">
        <v>149</v>
      </c>
      <c r="U1977" s="211">
        <v>200</v>
      </c>
      <c r="V1977" s="211">
        <v>36.21</v>
      </c>
      <c r="W1977" s="213">
        <v>68.81</v>
      </c>
      <c r="X1977" s="213">
        <v>34.409999999999997</v>
      </c>
    </row>
    <row r="1978" spans="3:24" ht="15" customHeight="1">
      <c r="C1978" s="3">
        <v>20</v>
      </c>
      <c r="D1978" s="15" t="s">
        <v>1406</v>
      </c>
      <c r="E1978" s="312" t="s">
        <v>200</v>
      </c>
      <c r="G1978" s="26">
        <v>2579</v>
      </c>
      <c r="H1978" s="26">
        <v>3493</v>
      </c>
      <c r="I1978" s="26">
        <v>3590</v>
      </c>
      <c r="J1978" s="26">
        <v>4099</v>
      </c>
      <c r="K1978" s="26">
        <v>4105</v>
      </c>
      <c r="L1978" s="26">
        <v>1788</v>
      </c>
      <c r="M1978" s="26">
        <v>3065</v>
      </c>
      <c r="N1978" s="26">
        <v>4105</v>
      </c>
      <c r="O1978" s="285"/>
      <c r="P1978" s="78"/>
      <c r="Q1978" s="202">
        <v>1805</v>
      </c>
      <c r="R1978" s="210">
        <v>20</v>
      </c>
      <c r="S1978" s="205" t="s">
        <v>1423</v>
      </c>
      <c r="T1978" s="206" t="s">
        <v>151</v>
      </c>
      <c r="U1978" s="211">
        <v>2000</v>
      </c>
      <c r="V1978" s="211">
        <v>0</v>
      </c>
      <c r="W1978" s="213">
        <v>1255</v>
      </c>
      <c r="X1978" s="213">
        <v>62.75</v>
      </c>
    </row>
    <row r="1979" spans="3:24" ht="15" customHeight="1">
      <c r="C1979" s="3">
        <v>20</v>
      </c>
      <c r="D1979" s="15" t="s">
        <v>1407</v>
      </c>
      <c r="E1979" s="312" t="s">
        <v>202</v>
      </c>
      <c r="G1979" s="26">
        <v>-517</v>
      </c>
      <c r="H1979" s="26">
        <v>-717</v>
      </c>
      <c r="I1979" s="26">
        <v>-555</v>
      </c>
      <c r="J1979" s="26">
        <v>-10</v>
      </c>
      <c r="K1979" s="26">
        <v>0</v>
      </c>
      <c r="L1979" s="26">
        <v>0</v>
      </c>
      <c r="M1979" s="26">
        <v>0</v>
      </c>
      <c r="N1979" s="26">
        <v>0</v>
      </c>
      <c r="O1979" s="285"/>
      <c r="P1979" s="93"/>
      <c r="Q1979" s="202">
        <v>1806</v>
      </c>
      <c r="R1979" s="210">
        <v>20</v>
      </c>
      <c r="S1979" s="205" t="s">
        <v>1424</v>
      </c>
      <c r="T1979" s="206" t="s">
        <v>153</v>
      </c>
      <c r="U1979" s="211">
        <v>1500</v>
      </c>
      <c r="V1979" s="211">
        <v>18.920000000000002</v>
      </c>
      <c r="W1979" s="213">
        <v>419.73</v>
      </c>
      <c r="X1979" s="213">
        <v>27.98</v>
      </c>
    </row>
    <row r="1980" spans="3:24" ht="15" customHeight="1">
      <c r="C1980" s="3">
        <v>20</v>
      </c>
      <c r="D1980" s="15" t="s">
        <v>1408</v>
      </c>
      <c r="E1980" s="312" t="s">
        <v>130</v>
      </c>
      <c r="G1980" s="26">
        <v>33227</v>
      </c>
      <c r="H1980" s="26">
        <v>1266</v>
      </c>
      <c r="I1980" s="26">
        <v>1459</v>
      </c>
      <c r="J1980" s="26">
        <v>940</v>
      </c>
      <c r="K1980" s="26">
        <v>1000</v>
      </c>
      <c r="L1980" s="26">
        <v>910</v>
      </c>
      <c r="M1980" s="26">
        <v>1560</v>
      </c>
      <c r="N1980" s="26">
        <v>1090</v>
      </c>
      <c r="O1980" s="285"/>
      <c r="P1980" s="78"/>
      <c r="Q1980" s="202">
        <v>1807</v>
      </c>
      <c r="R1980" s="210">
        <v>20</v>
      </c>
      <c r="S1980" s="205" t="s">
        <v>1425</v>
      </c>
      <c r="T1980" s="206" t="s">
        <v>157</v>
      </c>
      <c r="U1980" s="211">
        <v>100</v>
      </c>
      <c r="V1980" s="211">
        <v>0</v>
      </c>
      <c r="W1980" s="213">
        <v>0</v>
      </c>
      <c r="X1980" s="213">
        <v>0</v>
      </c>
    </row>
    <row r="1981" spans="3:24" ht="15" customHeight="1">
      <c r="C1981" s="3">
        <v>20</v>
      </c>
      <c r="D1981" s="15" t="s">
        <v>1409</v>
      </c>
      <c r="E1981" s="312" t="s">
        <v>132</v>
      </c>
      <c r="G1981" s="26">
        <v>2937</v>
      </c>
      <c r="H1981" s="26">
        <v>2994</v>
      </c>
      <c r="I1981" s="26">
        <v>3375</v>
      </c>
      <c r="J1981" s="26">
        <v>6752</v>
      </c>
      <c r="K1981" s="26">
        <v>5000</v>
      </c>
      <c r="L1981" s="26">
        <v>14344</v>
      </c>
      <c r="M1981" s="26">
        <v>15000</v>
      </c>
      <c r="N1981" s="26">
        <v>5450</v>
      </c>
      <c r="O1981" s="285"/>
      <c r="P1981" s="94"/>
      <c r="Q1981" s="202">
        <v>1808</v>
      </c>
      <c r="R1981" s="210">
        <v>20</v>
      </c>
      <c r="S1981" s="205" t="s">
        <v>1426</v>
      </c>
      <c r="T1981" s="206" t="s">
        <v>159</v>
      </c>
      <c r="U1981" s="211">
        <v>37772</v>
      </c>
      <c r="V1981" s="211">
        <v>624.74</v>
      </c>
      <c r="W1981" s="213">
        <v>18872.95</v>
      </c>
      <c r="X1981" s="213">
        <v>49.97</v>
      </c>
    </row>
    <row r="1982" spans="3:24" ht="15" customHeight="1">
      <c r="C1982" s="3">
        <v>20</v>
      </c>
      <c r="D1982" s="15" t="s">
        <v>1410</v>
      </c>
      <c r="E1982" s="312" t="s">
        <v>206</v>
      </c>
      <c r="G1982" s="26">
        <v>37</v>
      </c>
      <c r="H1982" s="26">
        <v>251</v>
      </c>
      <c r="I1982" s="26">
        <v>134</v>
      </c>
      <c r="J1982" s="26">
        <v>172</v>
      </c>
      <c r="K1982" s="26">
        <v>200</v>
      </c>
      <c r="L1982" s="26">
        <v>32</v>
      </c>
      <c r="M1982" s="26">
        <v>55</v>
      </c>
      <c r="N1982" s="26">
        <v>200</v>
      </c>
      <c r="O1982" s="285"/>
      <c r="P1982" s="76"/>
      <c r="Q1982" s="202">
        <v>1809</v>
      </c>
      <c r="R1982" s="210">
        <v>20</v>
      </c>
      <c r="S1982" s="205" t="s">
        <v>1427</v>
      </c>
      <c r="T1982" s="206" t="s">
        <v>229</v>
      </c>
      <c r="U1982" s="211">
        <v>4633</v>
      </c>
      <c r="V1982" s="211">
        <v>139.27000000000001</v>
      </c>
      <c r="W1982" s="213">
        <v>3154.63</v>
      </c>
      <c r="X1982" s="213">
        <v>68.09</v>
      </c>
    </row>
    <row r="1983" spans="3:24" ht="15" customHeight="1" thickBot="1">
      <c r="C1983" s="3">
        <v>20</v>
      </c>
      <c r="D1983" s="15" t="s">
        <v>1411</v>
      </c>
      <c r="E1983" s="312" t="s">
        <v>208</v>
      </c>
      <c r="G1983" s="26">
        <v>21676</v>
      </c>
      <c r="H1983" s="26">
        <v>28540</v>
      </c>
      <c r="I1983" s="26">
        <v>33187</v>
      </c>
      <c r="J1983" s="26">
        <v>36137</v>
      </c>
      <c r="K1983" s="26">
        <v>150000</v>
      </c>
      <c r="L1983" s="26">
        <v>17546</v>
      </c>
      <c r="M1983" s="26">
        <v>30079</v>
      </c>
      <c r="N1983" s="26">
        <v>160000</v>
      </c>
      <c r="O1983" s="285" t="s">
        <v>3042</v>
      </c>
      <c r="P1983" s="95"/>
      <c r="Q1983" s="202">
        <v>1810</v>
      </c>
      <c r="R1983" s="210">
        <v>20</v>
      </c>
      <c r="S1983" s="205" t="s">
        <v>1428</v>
      </c>
      <c r="T1983" s="206" t="s">
        <v>1429</v>
      </c>
      <c r="U1983" s="211">
        <v>310392</v>
      </c>
      <c r="V1983" s="211">
        <v>25866</v>
      </c>
      <c r="W1983" s="213">
        <v>206928</v>
      </c>
      <c r="X1983" s="213">
        <v>66.67</v>
      </c>
    </row>
    <row r="1984" spans="3:24" ht="15" customHeight="1" thickTop="1">
      <c r="C1984" s="3">
        <v>20</v>
      </c>
      <c r="D1984" s="15" t="s">
        <v>1412</v>
      </c>
      <c r="E1984" s="312" t="s">
        <v>210</v>
      </c>
      <c r="G1984" s="26">
        <v>0</v>
      </c>
      <c r="H1984" s="26">
        <v>44</v>
      </c>
      <c r="I1984" s="26">
        <v>33</v>
      </c>
      <c r="J1984" s="26">
        <v>59</v>
      </c>
      <c r="K1984" s="26">
        <v>0</v>
      </c>
      <c r="L1984" s="26">
        <v>56</v>
      </c>
      <c r="M1984" s="26">
        <v>96</v>
      </c>
      <c r="N1984" s="26">
        <v>0</v>
      </c>
      <c r="O1984" s="285"/>
      <c r="P1984" s="92"/>
      <c r="Q1984" s="202">
        <v>1811</v>
      </c>
      <c r="R1984" s="210">
        <v>20</v>
      </c>
      <c r="S1984" s="205" t="s">
        <v>1430</v>
      </c>
      <c r="T1984" s="206" t="s">
        <v>1431</v>
      </c>
      <c r="U1984" s="211">
        <v>39576</v>
      </c>
      <c r="V1984" s="211">
        <v>3298</v>
      </c>
      <c r="W1984" s="213">
        <v>26384</v>
      </c>
      <c r="X1984" s="213">
        <v>66.67</v>
      </c>
    </row>
    <row r="1985" spans="1:24" ht="15" customHeight="1">
      <c r="C1985" s="3">
        <v>20</v>
      </c>
      <c r="D1985" s="15" t="s">
        <v>1413</v>
      </c>
      <c r="E1985" s="312" t="s">
        <v>134</v>
      </c>
      <c r="G1985" s="26">
        <v>0</v>
      </c>
      <c r="H1985" s="26">
        <v>0</v>
      </c>
      <c r="I1985" s="26">
        <v>0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85"/>
      <c r="P1985" s="92"/>
      <c r="Q1985" s="202">
        <v>1812</v>
      </c>
      <c r="R1985" s="210">
        <v>20</v>
      </c>
      <c r="S1985" s="205" t="s">
        <v>1432</v>
      </c>
      <c r="T1985" s="206" t="s">
        <v>1433</v>
      </c>
      <c r="U1985" s="211">
        <v>131920</v>
      </c>
      <c r="V1985" s="211">
        <v>10993.33</v>
      </c>
      <c r="W1985" s="213">
        <v>87946.62</v>
      </c>
      <c r="X1985" s="213">
        <v>66.67</v>
      </c>
    </row>
    <row r="1986" spans="1:24" ht="15" customHeight="1">
      <c r="C1986" s="3">
        <v>20</v>
      </c>
      <c r="D1986" s="15" t="s">
        <v>1414</v>
      </c>
      <c r="E1986" s="312" t="s">
        <v>213</v>
      </c>
      <c r="G1986" s="26">
        <v>0</v>
      </c>
      <c r="H1986" s="26">
        <v>0</v>
      </c>
      <c r="I1986" s="26">
        <v>0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285"/>
      <c r="P1986" s="92"/>
      <c r="Q1986" s="202">
        <v>1813</v>
      </c>
      <c r="R1986" s="210">
        <v>20</v>
      </c>
      <c r="S1986" s="205" t="s">
        <v>1434</v>
      </c>
      <c r="T1986" s="206" t="s">
        <v>2555</v>
      </c>
      <c r="U1986" s="211">
        <v>44444</v>
      </c>
      <c r="V1986" s="211">
        <v>3703.67</v>
      </c>
      <c r="W1986" s="213">
        <v>29629.360000000001</v>
      </c>
      <c r="X1986" s="213">
        <v>66.67</v>
      </c>
    </row>
    <row r="1987" spans="1:24" ht="15" customHeight="1">
      <c r="G1987" s="26"/>
      <c r="H1987" s="26"/>
      <c r="I1987" s="26"/>
      <c r="J1987" s="26"/>
      <c r="K1987" s="26"/>
      <c r="L1987" s="26"/>
      <c r="M1987" s="26"/>
      <c r="N1987" s="26"/>
      <c r="P1987" s="73"/>
      <c r="Q1987" s="202">
        <v>1814</v>
      </c>
      <c r="R1987" s="210">
        <v>20</v>
      </c>
      <c r="S1987" s="205" t="s">
        <v>1435</v>
      </c>
      <c r="T1987" s="206" t="s">
        <v>162</v>
      </c>
      <c r="U1987" s="211">
        <v>1000</v>
      </c>
      <c r="V1987" s="211">
        <v>116.8</v>
      </c>
      <c r="W1987" s="213">
        <v>184</v>
      </c>
      <c r="X1987" s="213">
        <v>18.399999999999999</v>
      </c>
    </row>
    <row r="1988" spans="1:24" s="200" customFormat="1" ht="15" customHeight="1">
      <c r="A1988" s="196" t="s">
        <v>104</v>
      </c>
      <c r="B1988" s="201" t="s">
        <v>2317</v>
      </c>
      <c r="C1988" s="75"/>
      <c r="D1988" s="323" t="s">
        <v>2335</v>
      </c>
      <c r="E1988" s="323"/>
      <c r="F1988" s="324"/>
      <c r="G1988" s="325">
        <f>SUM(G1967:G1987)</f>
        <v>64329</v>
      </c>
      <c r="H1988" s="325">
        <f t="shared" ref="H1988:N1988" si="167">SUM(H1967:H1987)</f>
        <v>59349</v>
      </c>
      <c r="I1988" s="325">
        <f t="shared" si="167"/>
        <v>68539</v>
      </c>
      <c r="J1988" s="325">
        <f t="shared" si="167"/>
        <v>87069</v>
      </c>
      <c r="K1988" s="325">
        <f t="shared" si="167"/>
        <v>189205</v>
      </c>
      <c r="L1988" s="325">
        <f t="shared" si="167"/>
        <v>52195</v>
      </c>
      <c r="M1988" s="325">
        <f t="shared" si="167"/>
        <v>79506</v>
      </c>
      <c r="N1988" s="325">
        <f t="shared" si="167"/>
        <v>202445</v>
      </c>
      <c r="O1988" s="198"/>
      <c r="P1988" s="73"/>
      <c r="Q1988" s="202">
        <v>1815</v>
      </c>
      <c r="R1988" s="210">
        <v>20</v>
      </c>
      <c r="S1988" s="205" t="s">
        <v>2623</v>
      </c>
      <c r="T1988" s="206"/>
      <c r="U1988" s="211"/>
      <c r="V1988" s="211"/>
      <c r="W1988" s="213"/>
      <c r="X1988" s="213"/>
    </row>
    <row r="1989" spans="1:24" s="46" customFormat="1" ht="15" customHeight="1">
      <c r="B1989" s="14"/>
      <c r="C1989" s="3"/>
      <c r="D1989" s="47"/>
      <c r="E1989" s="47"/>
      <c r="F1989" s="191"/>
      <c r="G1989" s="48"/>
      <c r="H1989" s="48"/>
      <c r="I1989" s="48"/>
      <c r="J1989" s="48"/>
      <c r="K1989" s="48"/>
      <c r="L1989" s="48"/>
      <c r="M1989" s="48"/>
      <c r="N1989" s="48"/>
      <c r="O1989" s="47"/>
      <c r="P1989" s="73" t="s">
        <v>2596</v>
      </c>
      <c r="Q1989" s="202">
        <v>1816</v>
      </c>
      <c r="R1989" s="210">
        <v>20</v>
      </c>
      <c r="S1989" s="205" t="s">
        <v>135</v>
      </c>
      <c r="T1989" s="206"/>
      <c r="U1989" s="211">
        <v>766187</v>
      </c>
      <c r="V1989" s="211">
        <v>58447.12</v>
      </c>
      <c r="W1989" s="213">
        <v>480876.79</v>
      </c>
      <c r="X1989" s="213">
        <v>0</v>
      </c>
    </row>
    <row r="1990" spans="1:24" ht="15" customHeight="1">
      <c r="D1990" s="47" t="s">
        <v>2336</v>
      </c>
      <c r="G1990" s="26"/>
      <c r="H1990" s="26"/>
      <c r="I1990" s="26"/>
      <c r="J1990" s="26"/>
      <c r="K1990" s="26"/>
      <c r="L1990" s="26"/>
      <c r="M1990" s="26"/>
      <c r="N1990" s="26"/>
      <c r="P1990" s="73"/>
      <c r="Q1990" s="202">
        <v>1817</v>
      </c>
      <c r="R1990" s="210">
        <v>20</v>
      </c>
      <c r="S1990" s="205" t="s">
        <v>163</v>
      </c>
      <c r="T1990" s="206"/>
      <c r="U1990" s="211"/>
      <c r="V1990" s="211"/>
      <c r="W1990" s="213"/>
      <c r="X1990" s="213"/>
    </row>
    <row r="1991" spans="1:24" ht="15" customHeight="1">
      <c r="G1991" s="26"/>
      <c r="H1991" s="26"/>
      <c r="I1991" s="26"/>
      <c r="J1991" s="26"/>
      <c r="K1991" s="26"/>
      <c r="L1991" s="26"/>
      <c r="M1991" s="26"/>
      <c r="N1991" s="26"/>
      <c r="P1991" s="73" t="s">
        <v>2595</v>
      </c>
      <c r="Q1991" s="202">
        <v>1818</v>
      </c>
      <c r="R1991" s="210">
        <v>20</v>
      </c>
      <c r="S1991" s="205" t="s">
        <v>2627</v>
      </c>
      <c r="T1991" s="206"/>
      <c r="U1991" s="211"/>
      <c r="V1991" s="211"/>
      <c r="W1991" s="213"/>
      <c r="X1991" s="213"/>
    </row>
    <row r="1992" spans="1:24" ht="15" customHeight="1">
      <c r="C1992" s="3">
        <v>20</v>
      </c>
      <c r="D1992" s="15" t="s">
        <v>1415</v>
      </c>
      <c r="E1992" s="312" t="s">
        <v>137</v>
      </c>
      <c r="G1992" s="26">
        <v>2245</v>
      </c>
      <c r="H1992" s="26">
        <v>3130</v>
      </c>
      <c r="I1992" s="26">
        <v>3736</v>
      </c>
      <c r="J1992" s="26">
        <v>4591</v>
      </c>
      <c r="K1992" s="26">
        <v>2400</v>
      </c>
      <c r="L1992" s="26">
        <v>2458</v>
      </c>
      <c r="M1992" s="26">
        <v>4214</v>
      </c>
      <c r="N1992" s="26">
        <v>2616</v>
      </c>
      <c r="O1992" s="285"/>
      <c r="P1992" s="73"/>
      <c r="Q1992" s="202">
        <v>1819</v>
      </c>
      <c r="R1992" s="210">
        <v>20</v>
      </c>
      <c r="S1992" s="205" t="s">
        <v>1436</v>
      </c>
      <c r="T1992" s="206" t="s">
        <v>433</v>
      </c>
      <c r="U1992" s="211">
        <v>0</v>
      </c>
      <c r="V1992" s="211">
        <v>0</v>
      </c>
      <c r="W1992" s="213">
        <v>0</v>
      </c>
      <c r="X1992" s="213">
        <v>0</v>
      </c>
    </row>
    <row r="1993" spans="1:24" ht="15" customHeight="1">
      <c r="C1993" s="3">
        <v>20</v>
      </c>
      <c r="D1993" s="15" t="s">
        <v>1416</v>
      </c>
      <c r="E1993" s="312" t="s">
        <v>216</v>
      </c>
      <c r="G1993" s="26">
        <v>0</v>
      </c>
      <c r="H1993" s="26">
        <v>0</v>
      </c>
      <c r="I1993" s="26">
        <v>0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285"/>
      <c r="P1993" s="73"/>
      <c r="Q1993" s="202">
        <v>1820</v>
      </c>
      <c r="R1993" s="210">
        <v>20</v>
      </c>
      <c r="S1993" s="205" t="s">
        <v>1437</v>
      </c>
      <c r="T1993" s="206" t="s">
        <v>435</v>
      </c>
      <c r="U1993" s="211">
        <v>0</v>
      </c>
      <c r="V1993" s="211">
        <v>0</v>
      </c>
      <c r="W1993" s="213">
        <v>0</v>
      </c>
      <c r="X1993" s="213">
        <v>0</v>
      </c>
    </row>
    <row r="1994" spans="1:24" ht="15" customHeight="1">
      <c r="C1994" s="3">
        <v>20</v>
      </c>
      <c r="D1994" s="15" t="s">
        <v>1417</v>
      </c>
      <c r="E1994" s="312" t="s">
        <v>139</v>
      </c>
      <c r="G1994" s="26">
        <v>32321</v>
      </c>
      <c r="H1994" s="26">
        <v>26126</v>
      </c>
      <c r="I1994" s="26">
        <v>25928</v>
      </c>
      <c r="J1994" s="26">
        <v>26357</v>
      </c>
      <c r="K1994" s="26">
        <v>35000</v>
      </c>
      <c r="L1994" s="26">
        <v>10492</v>
      </c>
      <c r="M1994" s="26">
        <v>17986</v>
      </c>
      <c r="N1994" s="26">
        <v>35000</v>
      </c>
      <c r="O1994" s="285"/>
      <c r="P1994" s="73"/>
      <c r="Q1994" s="202">
        <v>1821</v>
      </c>
      <c r="R1994" s="210">
        <v>20</v>
      </c>
      <c r="S1994" s="205" t="s">
        <v>1438</v>
      </c>
      <c r="T1994" s="206" t="s">
        <v>232</v>
      </c>
      <c r="U1994" s="211">
        <v>1000</v>
      </c>
      <c r="V1994" s="211">
        <v>45</v>
      </c>
      <c r="W1994" s="213">
        <v>120</v>
      </c>
      <c r="X1994" s="213">
        <v>12</v>
      </c>
    </row>
    <row r="1995" spans="1:24" ht="15" customHeight="1">
      <c r="C1995" s="3">
        <v>20</v>
      </c>
      <c r="D1995" s="15" t="s">
        <v>2491</v>
      </c>
      <c r="E1995" s="312" t="s">
        <v>2492</v>
      </c>
      <c r="G1995" s="26">
        <v>0</v>
      </c>
      <c r="H1995" s="26">
        <v>0</v>
      </c>
      <c r="I1995" s="26">
        <v>0</v>
      </c>
      <c r="J1995" s="26">
        <v>3000</v>
      </c>
      <c r="K1995" s="26">
        <v>0</v>
      </c>
      <c r="L1995" s="26">
        <v>-3000</v>
      </c>
      <c r="M1995" s="26">
        <v>0</v>
      </c>
      <c r="N1995" s="26">
        <v>0</v>
      </c>
      <c r="O1995" s="285"/>
      <c r="P1995" s="73"/>
      <c r="Q1995" s="202">
        <v>1822</v>
      </c>
      <c r="R1995" s="210">
        <v>20</v>
      </c>
      <c r="S1995" s="205" t="s">
        <v>1439</v>
      </c>
      <c r="T1995" s="206" t="s">
        <v>1440</v>
      </c>
      <c r="U1995" s="211">
        <v>5000</v>
      </c>
      <c r="V1995" s="211">
        <v>25</v>
      </c>
      <c r="W1995" s="213">
        <v>8095.61</v>
      </c>
      <c r="X1995" s="213">
        <v>161.91</v>
      </c>
    </row>
    <row r="1996" spans="1:24" ht="15" customHeight="1">
      <c r="C1996" s="3">
        <v>20</v>
      </c>
      <c r="D1996" s="15" t="s">
        <v>1418</v>
      </c>
      <c r="E1996" s="312" t="s">
        <v>141</v>
      </c>
      <c r="G1996" s="26">
        <v>0</v>
      </c>
      <c r="H1996" s="26">
        <v>0</v>
      </c>
      <c r="I1996" s="26">
        <v>0</v>
      </c>
      <c r="J1996" s="26">
        <v>635</v>
      </c>
      <c r="K1996" s="26">
        <v>0</v>
      </c>
      <c r="L1996" s="26">
        <v>0</v>
      </c>
      <c r="M1996" s="26">
        <v>0</v>
      </c>
      <c r="N1996" s="26">
        <v>0</v>
      </c>
      <c r="O1996" s="285"/>
      <c r="P1996" s="73"/>
      <c r="Q1996" s="202">
        <v>1823</v>
      </c>
      <c r="R1996" s="210">
        <v>20</v>
      </c>
      <c r="S1996" s="205" t="s">
        <v>1441</v>
      </c>
      <c r="T1996" s="206" t="s">
        <v>440</v>
      </c>
      <c r="U1996" s="211">
        <v>6500</v>
      </c>
      <c r="V1996" s="211">
        <v>3630.9</v>
      </c>
      <c r="W1996" s="213">
        <v>9660.4</v>
      </c>
      <c r="X1996" s="213">
        <v>148.62</v>
      </c>
    </row>
    <row r="1997" spans="1:24" ht="15" customHeight="1">
      <c r="C1997" s="3">
        <v>20</v>
      </c>
      <c r="D1997" s="15" t="s">
        <v>1419</v>
      </c>
      <c r="E1997" s="312" t="s">
        <v>143</v>
      </c>
      <c r="G1997" s="26">
        <v>0</v>
      </c>
      <c r="H1997" s="26">
        <v>293</v>
      </c>
      <c r="I1997" s="26">
        <v>0</v>
      </c>
      <c r="J1997" s="26">
        <v>0</v>
      </c>
      <c r="K1997" s="26">
        <v>0</v>
      </c>
      <c r="L1997" s="26">
        <v>0</v>
      </c>
      <c r="M1997" s="26">
        <v>0</v>
      </c>
      <c r="N1997" s="26">
        <v>0</v>
      </c>
      <c r="O1997" s="285"/>
      <c r="P1997" s="73"/>
      <c r="Q1997" s="202">
        <v>1824</v>
      </c>
      <c r="R1997" s="210">
        <v>20</v>
      </c>
      <c r="S1997" s="205" t="s">
        <v>1442</v>
      </c>
      <c r="T1997" s="206" t="s">
        <v>1443</v>
      </c>
      <c r="U1997" s="211">
        <v>0</v>
      </c>
      <c r="V1997" s="211">
        <v>0</v>
      </c>
      <c r="W1997" s="213">
        <v>0</v>
      </c>
      <c r="X1997" s="213">
        <v>0</v>
      </c>
    </row>
    <row r="1998" spans="1:24" ht="15" customHeight="1">
      <c r="C1998" s="3">
        <v>20</v>
      </c>
      <c r="D1998" s="15" t="s">
        <v>1420</v>
      </c>
      <c r="E1998" s="312" t="s">
        <v>145</v>
      </c>
      <c r="G1998" s="26">
        <v>203256</v>
      </c>
      <c r="H1998" s="26">
        <v>180845</v>
      </c>
      <c r="I1998" s="26">
        <v>157239</v>
      </c>
      <c r="J1998" s="26">
        <v>186840</v>
      </c>
      <c r="K1998" s="26">
        <v>155000</v>
      </c>
      <c r="L1998" s="26">
        <v>82307</v>
      </c>
      <c r="M1998" s="26">
        <v>141098</v>
      </c>
      <c r="N1998" s="26">
        <v>163950</v>
      </c>
      <c r="O1998" s="285" t="s">
        <v>3043</v>
      </c>
      <c r="P1998" s="73"/>
      <c r="Q1998" s="202">
        <v>1825</v>
      </c>
      <c r="R1998" s="210">
        <v>20</v>
      </c>
      <c r="S1998" s="205" t="s">
        <v>1444</v>
      </c>
      <c r="T1998" s="206" t="s">
        <v>443</v>
      </c>
      <c r="U1998" s="211">
        <v>0</v>
      </c>
      <c r="V1998" s="211">
        <v>0</v>
      </c>
      <c r="W1998" s="213">
        <v>0</v>
      </c>
      <c r="X1998" s="213">
        <v>0</v>
      </c>
    </row>
    <row r="1999" spans="1:24" ht="15" customHeight="1">
      <c r="C1999" s="3">
        <v>20</v>
      </c>
      <c r="D1999" s="15" t="s">
        <v>1421</v>
      </c>
      <c r="E1999" s="312" t="s">
        <v>147</v>
      </c>
      <c r="G1999" s="26">
        <v>258</v>
      </c>
      <c r="H1999" s="26">
        <v>222</v>
      </c>
      <c r="I1999" s="26">
        <v>318</v>
      </c>
      <c r="J1999" s="26">
        <v>4</v>
      </c>
      <c r="K1999" s="26">
        <v>250</v>
      </c>
      <c r="L1999" s="26">
        <v>127</v>
      </c>
      <c r="M1999" s="26">
        <v>218</v>
      </c>
      <c r="N1999" s="26">
        <v>250</v>
      </c>
      <c r="O1999" s="285"/>
      <c r="P1999" s="73"/>
      <c r="Q1999" s="202">
        <v>1826</v>
      </c>
      <c r="R1999" s="210">
        <v>20</v>
      </c>
      <c r="S1999" s="205" t="s">
        <v>1445</v>
      </c>
      <c r="T1999" s="206" t="s">
        <v>445</v>
      </c>
      <c r="U1999" s="211">
        <v>1000</v>
      </c>
      <c r="V1999" s="211">
        <v>0</v>
      </c>
      <c r="W1999" s="213">
        <v>0</v>
      </c>
      <c r="X1999" s="213">
        <v>0</v>
      </c>
    </row>
    <row r="2000" spans="1:24" ht="15" customHeight="1">
      <c r="C2000" s="3">
        <v>20</v>
      </c>
      <c r="D2000" s="15" t="s">
        <v>1422</v>
      </c>
      <c r="E2000" s="312" t="s">
        <v>149</v>
      </c>
      <c r="G2000" s="26">
        <v>3</v>
      </c>
      <c r="H2000" s="26">
        <v>35</v>
      </c>
      <c r="I2000" s="26">
        <v>32</v>
      </c>
      <c r="J2000" s="26">
        <v>145</v>
      </c>
      <c r="K2000" s="26">
        <v>200</v>
      </c>
      <c r="L2000" s="26">
        <v>33</v>
      </c>
      <c r="M2000" s="26">
        <v>57</v>
      </c>
      <c r="N2000" s="26">
        <v>200</v>
      </c>
      <c r="O2000" s="285"/>
      <c r="P2000" s="73"/>
      <c r="Q2000" s="202">
        <v>1827</v>
      </c>
      <c r="R2000" s="210">
        <v>20</v>
      </c>
      <c r="S2000" s="205" t="s">
        <v>1446</v>
      </c>
      <c r="T2000" s="206" t="s">
        <v>329</v>
      </c>
      <c r="U2000" s="211">
        <v>0</v>
      </c>
      <c r="V2000" s="211">
        <v>0</v>
      </c>
      <c r="W2000" s="213">
        <v>0</v>
      </c>
      <c r="X2000" s="213">
        <v>0</v>
      </c>
    </row>
    <row r="2001" spans="1:24" ht="15" customHeight="1">
      <c r="C2001" s="3">
        <v>20</v>
      </c>
      <c r="D2001" s="15" t="s">
        <v>1423</v>
      </c>
      <c r="E2001" s="312" t="s">
        <v>151</v>
      </c>
      <c r="G2001" s="26">
        <v>608</v>
      </c>
      <c r="H2001" s="26">
        <v>1411</v>
      </c>
      <c r="I2001" s="26">
        <v>1901</v>
      </c>
      <c r="J2001" s="26">
        <v>1222</v>
      </c>
      <c r="K2001" s="26">
        <v>2000</v>
      </c>
      <c r="L2001" s="26">
        <v>1255</v>
      </c>
      <c r="M2001" s="26">
        <v>2152</v>
      </c>
      <c r="N2001" s="26">
        <v>2000</v>
      </c>
      <c r="O2001" s="285"/>
      <c r="P2001" s="73"/>
      <c r="Q2001" s="202">
        <v>1828</v>
      </c>
      <c r="R2001" s="210">
        <v>20</v>
      </c>
      <c r="S2001" s="205" t="s">
        <v>1447</v>
      </c>
      <c r="T2001" s="206" t="s">
        <v>165</v>
      </c>
      <c r="U2001" s="211">
        <v>0</v>
      </c>
      <c r="V2001" s="211">
        <v>0</v>
      </c>
      <c r="W2001" s="213">
        <v>0</v>
      </c>
      <c r="X2001" s="213">
        <v>0</v>
      </c>
    </row>
    <row r="2002" spans="1:24" ht="15" customHeight="1">
      <c r="C2002" s="3">
        <v>20</v>
      </c>
      <c r="D2002" s="15" t="s">
        <v>1424</v>
      </c>
      <c r="E2002" s="312" t="s">
        <v>153</v>
      </c>
      <c r="G2002" s="26">
        <v>1441</v>
      </c>
      <c r="H2002" s="26">
        <v>899</v>
      </c>
      <c r="I2002" s="26">
        <v>1843</v>
      </c>
      <c r="J2002" s="26">
        <v>3155</v>
      </c>
      <c r="K2002" s="26">
        <v>1500</v>
      </c>
      <c r="L2002" s="26">
        <v>401</v>
      </c>
      <c r="M2002" s="26">
        <v>688</v>
      </c>
      <c r="N2002" s="26">
        <v>1500</v>
      </c>
      <c r="O2002" s="285"/>
      <c r="P2002" s="73"/>
      <c r="Q2002" s="202">
        <v>1829</v>
      </c>
      <c r="R2002" s="210">
        <v>20</v>
      </c>
      <c r="S2002" s="205" t="s">
        <v>1448</v>
      </c>
      <c r="T2002" s="206" t="s">
        <v>167</v>
      </c>
      <c r="U2002" s="211">
        <v>2500</v>
      </c>
      <c r="V2002" s="211">
        <v>174.94</v>
      </c>
      <c r="W2002" s="213">
        <v>1345.84</v>
      </c>
      <c r="X2002" s="213">
        <v>53.83</v>
      </c>
    </row>
    <row r="2003" spans="1:24" ht="15" customHeight="1">
      <c r="C2003" s="3">
        <v>20</v>
      </c>
      <c r="D2003" s="15" t="s">
        <v>1425</v>
      </c>
      <c r="E2003" s="312" t="s">
        <v>157</v>
      </c>
      <c r="G2003" s="26">
        <v>1</v>
      </c>
      <c r="H2003" s="26">
        <v>0</v>
      </c>
      <c r="I2003" s="26">
        <v>6</v>
      </c>
      <c r="J2003" s="26">
        <v>0</v>
      </c>
      <c r="K2003" s="26">
        <v>100</v>
      </c>
      <c r="L2003" s="26">
        <v>0</v>
      </c>
      <c r="M2003" s="26">
        <v>0</v>
      </c>
      <c r="N2003" s="26">
        <v>100</v>
      </c>
      <c r="O2003" s="285"/>
      <c r="P2003" s="73"/>
      <c r="Q2003" s="202">
        <v>1830</v>
      </c>
      <c r="R2003" s="210">
        <v>20</v>
      </c>
      <c r="S2003" s="205" t="s">
        <v>1449</v>
      </c>
      <c r="T2003" s="206" t="s">
        <v>169</v>
      </c>
      <c r="U2003" s="211">
        <v>3500</v>
      </c>
      <c r="V2003" s="211">
        <v>13.63</v>
      </c>
      <c r="W2003" s="213">
        <v>8718.4699999999993</v>
      </c>
      <c r="X2003" s="213">
        <v>249.1</v>
      </c>
    </row>
    <row r="2004" spans="1:24" ht="15" customHeight="1">
      <c r="C2004" s="3">
        <v>20</v>
      </c>
      <c r="D2004" s="15" t="s">
        <v>1426</v>
      </c>
      <c r="E2004" s="312" t="s">
        <v>159</v>
      </c>
      <c r="G2004" s="26">
        <v>9895</v>
      </c>
      <c r="H2004" s="26">
        <v>14715</v>
      </c>
      <c r="I2004" s="26">
        <v>31036</v>
      </c>
      <c r="J2004" s="26">
        <v>30809</v>
      </c>
      <c r="K2004" s="26">
        <v>37772</v>
      </c>
      <c r="L2004" s="26">
        <v>18248</v>
      </c>
      <c r="M2004" s="26">
        <v>37772</v>
      </c>
      <c r="N2004" s="26">
        <v>40249</v>
      </c>
      <c r="O2004" s="285"/>
      <c r="P2004" s="73"/>
      <c r="Q2004" s="202">
        <v>1831</v>
      </c>
      <c r="R2004" s="210">
        <v>20</v>
      </c>
      <c r="S2004" s="205" t="s">
        <v>1450</v>
      </c>
      <c r="T2004" s="206" t="s">
        <v>1451</v>
      </c>
      <c r="U2004" s="211">
        <v>0</v>
      </c>
      <c r="V2004" s="211">
        <v>0</v>
      </c>
      <c r="W2004" s="213">
        <v>0</v>
      </c>
      <c r="X2004" s="213">
        <v>0</v>
      </c>
    </row>
    <row r="2005" spans="1:24" ht="15" customHeight="1">
      <c r="C2005" s="3">
        <v>20</v>
      </c>
      <c r="D2005" s="15" t="s">
        <v>1427</v>
      </c>
      <c r="E2005" s="312" t="s">
        <v>229</v>
      </c>
      <c r="G2005" s="26">
        <v>566</v>
      </c>
      <c r="H2005" s="26">
        <v>4035</v>
      </c>
      <c r="I2005" s="26">
        <v>7151</v>
      </c>
      <c r="J2005" s="26">
        <v>6147</v>
      </c>
      <c r="K2005" s="26">
        <v>4633</v>
      </c>
      <c r="L2005" s="26">
        <v>3015</v>
      </c>
      <c r="M2005" s="26">
        <v>4633</v>
      </c>
      <c r="N2005" s="26">
        <v>3297</v>
      </c>
      <c r="O2005" s="285">
        <v>43546</v>
      </c>
      <c r="P2005" s="73"/>
      <c r="Q2005" s="202">
        <v>1832</v>
      </c>
      <c r="R2005" s="210">
        <v>20</v>
      </c>
      <c r="S2005" s="205" t="s">
        <v>1452</v>
      </c>
      <c r="T2005" s="206" t="s">
        <v>171</v>
      </c>
      <c r="U2005" s="211">
        <v>8000</v>
      </c>
      <c r="V2005" s="211">
        <v>11.02</v>
      </c>
      <c r="W2005" s="213">
        <v>3656.32</v>
      </c>
      <c r="X2005" s="213">
        <v>45.7</v>
      </c>
    </row>
    <row r="2006" spans="1:24" ht="15" customHeight="1">
      <c r="C2006" s="3">
        <v>20</v>
      </c>
      <c r="D2006" s="15" t="s">
        <v>1428</v>
      </c>
      <c r="E2006" s="312" t="s">
        <v>1429</v>
      </c>
      <c r="G2006" s="26">
        <v>0</v>
      </c>
      <c r="H2006" s="26">
        <v>310392</v>
      </c>
      <c r="I2006" s="26">
        <v>310392</v>
      </c>
      <c r="J2006" s="26">
        <v>310392</v>
      </c>
      <c r="K2006" s="26">
        <v>310392</v>
      </c>
      <c r="L2006" s="26">
        <v>181062</v>
      </c>
      <c r="M2006" s="26">
        <v>310392</v>
      </c>
      <c r="N2006" s="26">
        <v>377374</v>
      </c>
      <c r="O2006" s="285" t="s">
        <v>2919</v>
      </c>
      <c r="P2006" s="73"/>
      <c r="Q2006" s="202">
        <v>1833</v>
      </c>
      <c r="R2006" s="210">
        <v>20</v>
      </c>
      <c r="S2006" s="205" t="s">
        <v>1453</v>
      </c>
      <c r="T2006" s="206" t="s">
        <v>173</v>
      </c>
      <c r="U2006" s="211">
        <v>2500</v>
      </c>
      <c r="V2006" s="211">
        <v>24.37</v>
      </c>
      <c r="W2006" s="213">
        <v>1224.0999999999999</v>
      </c>
      <c r="X2006" s="213">
        <v>48.96</v>
      </c>
    </row>
    <row r="2007" spans="1:24" ht="15" customHeight="1">
      <c r="C2007" s="3">
        <v>20</v>
      </c>
      <c r="D2007" s="15" t="s">
        <v>1430</v>
      </c>
      <c r="E2007" s="312" t="s">
        <v>1431</v>
      </c>
      <c r="G2007" s="26">
        <v>0</v>
      </c>
      <c r="H2007" s="26">
        <v>39576</v>
      </c>
      <c r="I2007" s="26">
        <v>39576</v>
      </c>
      <c r="J2007" s="26">
        <v>39576</v>
      </c>
      <c r="K2007" s="26">
        <v>39576</v>
      </c>
      <c r="L2007" s="26">
        <v>23086</v>
      </c>
      <c r="M2007" s="26">
        <v>39576</v>
      </c>
      <c r="N2007" s="26">
        <v>54895</v>
      </c>
      <c r="O2007" s="285" t="s">
        <v>2919</v>
      </c>
      <c r="P2007" s="73"/>
      <c r="Q2007" s="202">
        <v>1834</v>
      </c>
      <c r="R2007" s="210">
        <v>20</v>
      </c>
      <c r="S2007" s="205" t="s">
        <v>1454</v>
      </c>
      <c r="T2007" s="206" t="s">
        <v>175</v>
      </c>
      <c r="U2007" s="211">
        <v>0</v>
      </c>
      <c r="V2007" s="211">
        <v>0</v>
      </c>
      <c r="W2007" s="213">
        <v>0</v>
      </c>
      <c r="X2007" s="213">
        <v>0</v>
      </c>
    </row>
    <row r="2008" spans="1:24" ht="15" customHeight="1">
      <c r="C2008" s="3">
        <v>20</v>
      </c>
      <c r="D2008" s="15" t="s">
        <v>1432</v>
      </c>
      <c r="E2008" s="312" t="s">
        <v>1433</v>
      </c>
      <c r="G2008" s="26">
        <v>0</v>
      </c>
      <c r="H2008" s="26">
        <v>131920</v>
      </c>
      <c r="I2008" s="26">
        <v>131920</v>
      </c>
      <c r="J2008" s="26">
        <v>131920</v>
      </c>
      <c r="K2008" s="26">
        <v>131920</v>
      </c>
      <c r="L2008" s="26">
        <v>76953</v>
      </c>
      <c r="M2008" s="26">
        <v>131920</v>
      </c>
      <c r="N2008" s="26">
        <v>148486</v>
      </c>
      <c r="O2008" s="285" t="s">
        <v>2919</v>
      </c>
      <c r="P2008" s="73"/>
      <c r="Q2008" s="202">
        <v>1835</v>
      </c>
      <c r="R2008" s="210">
        <v>20</v>
      </c>
      <c r="S2008" s="205" t="s">
        <v>1455</v>
      </c>
      <c r="T2008" s="206" t="s">
        <v>773</v>
      </c>
      <c r="U2008" s="211">
        <v>10000</v>
      </c>
      <c r="V2008" s="211">
        <v>0</v>
      </c>
      <c r="W2008" s="213">
        <v>1765.3</v>
      </c>
      <c r="X2008" s="213">
        <v>17.649999999999999</v>
      </c>
    </row>
    <row r="2009" spans="1:24" ht="15" customHeight="1">
      <c r="C2009" s="3">
        <v>20</v>
      </c>
      <c r="D2009" s="15" t="s">
        <v>1434</v>
      </c>
      <c r="E2009" s="312" t="s">
        <v>2555</v>
      </c>
      <c r="G2009" s="26">
        <v>0</v>
      </c>
      <c r="H2009" s="26">
        <v>40740</v>
      </c>
      <c r="I2009" s="26">
        <v>44444</v>
      </c>
      <c r="J2009" s="26">
        <v>44444</v>
      </c>
      <c r="K2009" s="26">
        <v>44444</v>
      </c>
      <c r="L2009" s="26">
        <v>25926</v>
      </c>
      <c r="M2009" s="26">
        <v>44444</v>
      </c>
      <c r="N2009" s="26">
        <v>93215</v>
      </c>
      <c r="O2009" s="285" t="s">
        <v>2919</v>
      </c>
      <c r="P2009" s="73"/>
      <c r="Q2009" s="202">
        <v>1836</v>
      </c>
      <c r="R2009" s="210">
        <v>20</v>
      </c>
      <c r="S2009" s="205" t="s">
        <v>1456</v>
      </c>
      <c r="T2009" s="206" t="s">
        <v>1457</v>
      </c>
      <c r="U2009" s="211">
        <v>45000</v>
      </c>
      <c r="V2009" s="211">
        <v>406.11</v>
      </c>
      <c r="W2009" s="213">
        <v>10165.9</v>
      </c>
      <c r="X2009" s="213">
        <v>22.59</v>
      </c>
    </row>
    <row r="2010" spans="1:24" ht="15" customHeight="1">
      <c r="C2010" s="3">
        <v>20</v>
      </c>
      <c r="D2010" s="15" t="s">
        <v>1435</v>
      </c>
      <c r="E2010" s="312" t="s">
        <v>162</v>
      </c>
      <c r="G2010" s="26">
        <v>1191</v>
      </c>
      <c r="H2010" s="26">
        <v>850</v>
      </c>
      <c r="I2010" s="26">
        <v>15</v>
      </c>
      <c r="J2010" s="26">
        <v>0</v>
      </c>
      <c r="K2010" s="26">
        <v>1000</v>
      </c>
      <c r="L2010" s="26">
        <v>67</v>
      </c>
      <c r="M2010" s="26">
        <v>115</v>
      </c>
      <c r="N2010" s="26">
        <v>1000</v>
      </c>
      <c r="O2010" s="285"/>
      <c r="P2010" s="73"/>
      <c r="Q2010" s="202">
        <v>1837</v>
      </c>
      <c r="R2010" s="210">
        <v>20</v>
      </c>
      <c r="S2010" s="205" t="s">
        <v>1458</v>
      </c>
      <c r="T2010" s="206" t="s">
        <v>1459</v>
      </c>
      <c r="U2010" s="211">
        <v>0</v>
      </c>
      <c r="V2010" s="211">
        <v>0</v>
      </c>
      <c r="W2010" s="213">
        <v>0</v>
      </c>
      <c r="X2010" s="213">
        <v>0</v>
      </c>
    </row>
    <row r="2011" spans="1:24" ht="15" customHeight="1">
      <c r="G2011" s="26"/>
      <c r="H2011" s="26"/>
      <c r="I2011" s="26"/>
      <c r="J2011" s="26"/>
      <c r="K2011" s="26"/>
      <c r="L2011" s="26"/>
      <c r="M2011" s="26"/>
      <c r="N2011" s="26"/>
      <c r="P2011" s="73"/>
      <c r="Q2011" s="202">
        <v>1838</v>
      </c>
      <c r="R2011" s="210">
        <v>20</v>
      </c>
      <c r="S2011" s="205" t="s">
        <v>1460</v>
      </c>
      <c r="T2011" s="206" t="s">
        <v>244</v>
      </c>
      <c r="U2011" s="211">
        <v>0</v>
      </c>
      <c r="V2011" s="211">
        <v>0</v>
      </c>
      <c r="W2011" s="213">
        <v>0</v>
      </c>
      <c r="X2011" s="213">
        <v>0</v>
      </c>
    </row>
    <row r="2012" spans="1:24" s="22" customFormat="1" ht="15" customHeight="1">
      <c r="A2012" s="5" t="s">
        <v>135</v>
      </c>
      <c r="B2012" s="62" t="s">
        <v>2317</v>
      </c>
      <c r="C2012" s="3"/>
      <c r="D2012" s="323" t="s">
        <v>3086</v>
      </c>
      <c r="E2012" s="323"/>
      <c r="F2012" s="324"/>
      <c r="G2012" s="325">
        <f>SUM(G1990:G2011)</f>
        <v>251785</v>
      </c>
      <c r="H2012" s="325">
        <f t="shared" ref="H2012:N2012" si="168">SUM(H1990:H2011)</f>
        <v>755189</v>
      </c>
      <c r="I2012" s="325">
        <f t="shared" si="168"/>
        <v>755537</v>
      </c>
      <c r="J2012" s="325">
        <f t="shared" si="168"/>
        <v>789237</v>
      </c>
      <c r="K2012" s="325">
        <f t="shared" si="168"/>
        <v>766187</v>
      </c>
      <c r="L2012" s="325">
        <f t="shared" si="168"/>
        <v>422430</v>
      </c>
      <c r="M2012" s="325">
        <f t="shared" si="168"/>
        <v>735265</v>
      </c>
      <c r="N2012" s="325">
        <f t="shared" si="168"/>
        <v>924132</v>
      </c>
      <c r="O2012" s="18"/>
      <c r="P2012" s="78"/>
      <c r="Q2012" s="202">
        <v>1839</v>
      </c>
      <c r="R2012" s="210">
        <v>20</v>
      </c>
      <c r="S2012" s="205" t="s">
        <v>1461</v>
      </c>
      <c r="T2012" s="206" t="s">
        <v>762</v>
      </c>
      <c r="U2012" s="211">
        <v>10000</v>
      </c>
      <c r="V2012" s="211">
        <v>3999.2</v>
      </c>
      <c r="W2012" s="213">
        <v>13630.22</v>
      </c>
      <c r="X2012" s="213">
        <v>136.30000000000001</v>
      </c>
    </row>
    <row r="2013" spans="1:24" s="46" customFormat="1" ht="15" customHeight="1" thickBot="1">
      <c r="B2013" s="14"/>
      <c r="C2013" s="3"/>
      <c r="D2013" s="47"/>
      <c r="E2013" s="47"/>
      <c r="F2013" s="191"/>
      <c r="G2013" s="48"/>
      <c r="H2013" s="48"/>
      <c r="I2013" s="48"/>
      <c r="J2013" s="48"/>
      <c r="K2013" s="48"/>
      <c r="L2013" s="48"/>
      <c r="M2013" s="48"/>
      <c r="N2013" s="48"/>
      <c r="O2013" s="47"/>
      <c r="P2013" s="91"/>
      <c r="Q2013" s="202">
        <v>1840</v>
      </c>
      <c r="R2013" s="210">
        <v>20</v>
      </c>
      <c r="S2013" s="205" t="s">
        <v>1462</v>
      </c>
      <c r="T2013" s="206" t="s">
        <v>1463</v>
      </c>
      <c r="U2013" s="211">
        <v>10000</v>
      </c>
      <c r="V2013" s="211">
        <v>299.7</v>
      </c>
      <c r="W2013" s="213">
        <v>10962.49</v>
      </c>
      <c r="X2013" s="213">
        <v>109.62</v>
      </c>
    </row>
    <row r="2014" spans="1:24" ht="15" customHeight="1" thickTop="1">
      <c r="D2014" s="47" t="s">
        <v>2337</v>
      </c>
      <c r="G2014" s="26"/>
      <c r="H2014" s="26"/>
      <c r="I2014" s="26"/>
      <c r="J2014" s="26"/>
      <c r="K2014" s="26"/>
      <c r="L2014" s="26"/>
      <c r="M2014" s="26"/>
      <c r="N2014" s="26"/>
      <c r="P2014" s="92"/>
      <c r="Q2014" s="202">
        <v>1841</v>
      </c>
      <c r="R2014" s="210">
        <v>20</v>
      </c>
      <c r="S2014" s="205" t="s">
        <v>1464</v>
      </c>
      <c r="T2014" s="206" t="s">
        <v>1019</v>
      </c>
      <c r="U2014" s="211">
        <v>15000</v>
      </c>
      <c r="V2014" s="211">
        <v>3534.92</v>
      </c>
      <c r="W2014" s="213">
        <v>19738.36</v>
      </c>
      <c r="X2014" s="213">
        <v>131.59</v>
      </c>
    </row>
    <row r="2015" spans="1:24" ht="15" customHeight="1">
      <c r="G2015" s="26"/>
      <c r="H2015" s="26"/>
      <c r="I2015" s="26"/>
      <c r="J2015" s="26"/>
      <c r="K2015" s="26"/>
      <c r="L2015" s="26"/>
      <c r="M2015" s="26"/>
      <c r="N2015" s="26"/>
      <c r="P2015" s="92"/>
      <c r="Q2015" s="202">
        <v>1842</v>
      </c>
      <c r="R2015" s="210">
        <v>20</v>
      </c>
      <c r="S2015" s="205" t="s">
        <v>1465</v>
      </c>
      <c r="T2015" s="206" t="s">
        <v>1466</v>
      </c>
      <c r="U2015" s="211">
        <v>3500</v>
      </c>
      <c r="V2015" s="211">
        <v>368.37</v>
      </c>
      <c r="W2015" s="213">
        <v>5494.43</v>
      </c>
      <c r="X2015" s="213">
        <v>156.97999999999999</v>
      </c>
    </row>
    <row r="2016" spans="1:24" ht="15" customHeight="1">
      <c r="C2016" s="3">
        <v>20</v>
      </c>
      <c r="D2016" s="15" t="s">
        <v>1436</v>
      </c>
      <c r="E2016" s="312" t="s">
        <v>433</v>
      </c>
      <c r="G2016" s="26">
        <v>77</v>
      </c>
      <c r="H2016" s="26">
        <v>0</v>
      </c>
      <c r="I2016" s="26">
        <v>22</v>
      </c>
      <c r="J2016" s="26">
        <v>0</v>
      </c>
      <c r="K2016" s="26">
        <v>0</v>
      </c>
      <c r="L2016" s="26">
        <v>0</v>
      </c>
      <c r="M2016" s="26">
        <v>0</v>
      </c>
      <c r="N2016" s="26">
        <v>0</v>
      </c>
      <c r="O2016" s="285"/>
      <c r="P2016" s="92"/>
      <c r="Q2016" s="202">
        <v>1843</v>
      </c>
      <c r="R2016" s="210">
        <v>20</v>
      </c>
      <c r="S2016" s="205" t="s">
        <v>2623</v>
      </c>
      <c r="T2016" s="206"/>
      <c r="U2016" s="211"/>
      <c r="V2016" s="211"/>
      <c r="W2016" s="213"/>
      <c r="X2016" s="213"/>
    </row>
    <row r="2017" spans="3:24" ht="15" customHeight="1">
      <c r="C2017" s="3">
        <v>20</v>
      </c>
      <c r="D2017" s="15" t="s">
        <v>1437</v>
      </c>
      <c r="E2017" s="312" t="s">
        <v>435</v>
      </c>
      <c r="G2017" s="26">
        <v>7500</v>
      </c>
      <c r="H2017" s="26">
        <v>2</v>
      </c>
      <c r="I2017" s="26">
        <v>0</v>
      </c>
      <c r="J2017" s="26">
        <v>0</v>
      </c>
      <c r="K2017" s="26">
        <v>0</v>
      </c>
      <c r="L2017" s="26">
        <v>0</v>
      </c>
      <c r="M2017" s="26">
        <v>0</v>
      </c>
      <c r="N2017" s="26">
        <v>0</v>
      </c>
      <c r="O2017" s="285"/>
      <c r="P2017" s="80"/>
      <c r="Q2017" s="202">
        <v>1844</v>
      </c>
      <c r="R2017" s="210">
        <v>20</v>
      </c>
      <c r="S2017" s="205" t="s">
        <v>163</v>
      </c>
      <c r="T2017" s="206"/>
      <c r="U2017" s="211">
        <v>123500</v>
      </c>
      <c r="V2017" s="211">
        <v>12533.16</v>
      </c>
      <c r="W2017" s="213">
        <v>94577.44</v>
      </c>
      <c r="X2017" s="213">
        <v>0</v>
      </c>
    </row>
    <row r="2018" spans="3:24" ht="15" customHeight="1">
      <c r="C2018" s="3">
        <v>20</v>
      </c>
      <c r="D2018" s="15" t="s">
        <v>1438</v>
      </c>
      <c r="E2018" s="312" t="s">
        <v>232</v>
      </c>
      <c r="G2018" s="26">
        <v>202</v>
      </c>
      <c r="H2018" s="26">
        <v>1300</v>
      </c>
      <c r="I2018" s="26">
        <v>566</v>
      </c>
      <c r="J2018" s="26">
        <v>197</v>
      </c>
      <c r="K2018" s="26">
        <v>1000</v>
      </c>
      <c r="L2018" s="26">
        <v>75</v>
      </c>
      <c r="M2018" s="26">
        <v>129</v>
      </c>
      <c r="N2018" s="26">
        <v>1000</v>
      </c>
      <c r="O2018" s="285"/>
      <c r="P2018" s="78"/>
      <c r="Q2018" s="202">
        <v>1845</v>
      </c>
      <c r="R2018" s="210">
        <v>20</v>
      </c>
      <c r="S2018" s="205" t="s">
        <v>245</v>
      </c>
      <c r="T2018" s="206"/>
      <c r="U2018" s="211"/>
      <c r="V2018" s="211"/>
      <c r="W2018" s="213"/>
      <c r="X2018" s="213"/>
    </row>
    <row r="2019" spans="3:24" ht="15" customHeight="1">
      <c r="C2019" s="3">
        <v>20</v>
      </c>
      <c r="D2019" s="15" t="s">
        <v>1439</v>
      </c>
      <c r="E2019" s="312" t="s">
        <v>1440</v>
      </c>
      <c r="G2019" s="26">
        <v>4000</v>
      </c>
      <c r="H2019" s="26">
        <v>8058</v>
      </c>
      <c r="I2019" s="26">
        <v>1550</v>
      </c>
      <c r="J2019" s="26">
        <v>3121</v>
      </c>
      <c r="K2019" s="26">
        <v>5000</v>
      </c>
      <c r="L2019" s="26">
        <v>8071</v>
      </c>
      <c r="M2019" s="26">
        <v>13836</v>
      </c>
      <c r="N2019" s="26">
        <v>5000</v>
      </c>
      <c r="O2019" s="285" t="s">
        <v>3039</v>
      </c>
      <c r="P2019" s="78"/>
      <c r="Q2019" s="202">
        <v>1846</v>
      </c>
      <c r="R2019" s="210">
        <v>20</v>
      </c>
      <c r="S2019" s="205" t="s">
        <v>2628</v>
      </c>
      <c r="T2019" s="206"/>
      <c r="U2019" s="211"/>
      <c r="V2019" s="211"/>
      <c r="W2019" s="213"/>
      <c r="X2019" s="213"/>
    </row>
    <row r="2020" spans="3:24" ht="15" customHeight="1">
      <c r="C2020" s="3">
        <v>20</v>
      </c>
      <c r="D2020" s="15" t="s">
        <v>1441</v>
      </c>
      <c r="E2020" s="312" t="s">
        <v>440</v>
      </c>
      <c r="G2020" s="26">
        <v>803</v>
      </c>
      <c r="H2020" s="26">
        <v>3789</v>
      </c>
      <c r="I2020" s="26">
        <v>11280</v>
      </c>
      <c r="J2020" s="26">
        <v>7831</v>
      </c>
      <c r="K2020" s="26">
        <v>6500</v>
      </c>
      <c r="L2020" s="26">
        <v>6030</v>
      </c>
      <c r="M2020" s="26">
        <v>10337</v>
      </c>
      <c r="N2020" s="26">
        <v>7020</v>
      </c>
      <c r="O2020" s="285"/>
      <c r="P2020" s="78"/>
      <c r="Q2020" s="202">
        <v>1847</v>
      </c>
      <c r="R2020" s="210">
        <v>20</v>
      </c>
      <c r="S2020" s="205" t="s">
        <v>1467</v>
      </c>
      <c r="T2020" s="206" t="s">
        <v>1673</v>
      </c>
      <c r="U2020" s="211">
        <v>5000</v>
      </c>
      <c r="V2020" s="211">
        <v>0</v>
      </c>
      <c r="W2020" s="213">
        <v>0</v>
      </c>
      <c r="X2020" s="213">
        <v>0</v>
      </c>
    </row>
    <row r="2021" spans="3:24" ht="15" customHeight="1">
      <c r="C2021" s="3">
        <v>20</v>
      </c>
      <c r="D2021" s="15" t="s">
        <v>1442</v>
      </c>
      <c r="E2021" s="312" t="s">
        <v>1443</v>
      </c>
      <c r="G2021" s="26">
        <v>0</v>
      </c>
      <c r="H2021" s="26">
        <v>0</v>
      </c>
      <c r="I2021" s="26">
        <v>0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85"/>
      <c r="P2021" s="78"/>
      <c r="Q2021" s="202">
        <v>1848</v>
      </c>
      <c r="R2021" s="210">
        <v>20</v>
      </c>
      <c r="S2021" s="205" t="s">
        <v>1468</v>
      </c>
      <c r="T2021" s="206" t="s">
        <v>435</v>
      </c>
      <c r="U2021" s="211">
        <v>0</v>
      </c>
      <c r="V2021" s="211">
        <v>0</v>
      </c>
      <c r="W2021" s="213">
        <v>0</v>
      </c>
      <c r="X2021" s="213">
        <v>0</v>
      </c>
    </row>
    <row r="2022" spans="3:24" ht="15" customHeight="1">
      <c r="C2022" s="3">
        <v>20</v>
      </c>
      <c r="D2022" s="15" t="s">
        <v>1444</v>
      </c>
      <c r="E2022" s="312" t="s">
        <v>443</v>
      </c>
      <c r="G2022" s="26">
        <v>0</v>
      </c>
      <c r="H2022" s="26">
        <v>0</v>
      </c>
      <c r="I2022" s="26">
        <v>0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285"/>
      <c r="P2022" s="78"/>
      <c r="Q2022" s="202">
        <v>1849</v>
      </c>
      <c r="R2022" s="210">
        <v>20</v>
      </c>
      <c r="S2022" s="205" t="s">
        <v>1469</v>
      </c>
      <c r="T2022" s="206" t="s">
        <v>232</v>
      </c>
      <c r="U2022" s="211">
        <v>0</v>
      </c>
      <c r="V2022" s="211">
        <v>0</v>
      </c>
      <c r="W2022" s="213">
        <v>0</v>
      </c>
      <c r="X2022" s="213">
        <v>0</v>
      </c>
    </row>
    <row r="2023" spans="3:24" ht="15" customHeight="1">
      <c r="C2023" s="3">
        <v>20</v>
      </c>
      <c r="D2023" s="15" t="s">
        <v>1445</v>
      </c>
      <c r="E2023" s="312" t="s">
        <v>445</v>
      </c>
      <c r="G2023" s="26">
        <v>0</v>
      </c>
      <c r="H2023" s="26">
        <v>0</v>
      </c>
      <c r="I2023" s="26">
        <v>281</v>
      </c>
      <c r="J2023" s="26">
        <v>0</v>
      </c>
      <c r="K2023" s="26">
        <v>1000</v>
      </c>
      <c r="L2023" s="26">
        <v>0</v>
      </c>
      <c r="M2023" s="26">
        <v>0</v>
      </c>
      <c r="N2023" s="26">
        <v>1000</v>
      </c>
      <c r="O2023" s="285"/>
      <c r="P2023" s="78"/>
      <c r="Q2023" s="202">
        <v>1850</v>
      </c>
      <c r="R2023" s="210">
        <v>20</v>
      </c>
      <c r="S2023" s="205" t="s">
        <v>1470</v>
      </c>
      <c r="T2023" s="206" t="s">
        <v>1471</v>
      </c>
      <c r="U2023" s="211">
        <v>0</v>
      </c>
      <c r="V2023" s="211">
        <v>0</v>
      </c>
      <c r="W2023" s="213">
        <v>0</v>
      </c>
      <c r="X2023" s="213">
        <v>0</v>
      </c>
    </row>
    <row r="2024" spans="3:24" ht="15" customHeight="1">
      <c r="C2024" s="3">
        <v>20</v>
      </c>
      <c r="D2024" s="15" t="s">
        <v>1446</v>
      </c>
      <c r="E2024" s="312" t="s">
        <v>329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85"/>
      <c r="P2024" s="78"/>
      <c r="Q2024" s="202">
        <v>1851</v>
      </c>
      <c r="R2024" s="210">
        <v>20</v>
      </c>
      <c r="S2024" s="205" t="s">
        <v>1472</v>
      </c>
      <c r="T2024" s="206" t="s">
        <v>1473</v>
      </c>
      <c r="U2024" s="211">
        <v>0</v>
      </c>
      <c r="V2024" s="211">
        <v>0</v>
      </c>
      <c r="W2024" s="213">
        <v>0</v>
      </c>
      <c r="X2024" s="213">
        <v>0</v>
      </c>
    </row>
    <row r="2025" spans="3:24" ht="15" customHeight="1">
      <c r="C2025" s="3">
        <v>20</v>
      </c>
      <c r="D2025" s="15" t="s">
        <v>1447</v>
      </c>
      <c r="E2025" s="312" t="s">
        <v>165</v>
      </c>
      <c r="G2025" s="26">
        <v>0</v>
      </c>
      <c r="H2025" s="26">
        <v>81</v>
      </c>
      <c r="I2025" s="26">
        <v>0</v>
      </c>
      <c r="J2025" s="26">
        <v>718</v>
      </c>
      <c r="K2025" s="26">
        <v>0</v>
      </c>
      <c r="L2025" s="26">
        <v>0</v>
      </c>
      <c r="M2025" s="26">
        <v>0</v>
      </c>
      <c r="N2025" s="26">
        <v>0</v>
      </c>
      <c r="O2025" s="285"/>
      <c r="P2025" s="78"/>
      <c r="Q2025" s="202">
        <v>1852</v>
      </c>
      <c r="R2025" s="210">
        <v>20</v>
      </c>
      <c r="S2025" s="205" t="s">
        <v>1474</v>
      </c>
      <c r="T2025" s="206" t="s">
        <v>445</v>
      </c>
      <c r="U2025" s="211">
        <v>0</v>
      </c>
      <c r="V2025" s="211">
        <v>0</v>
      </c>
      <c r="W2025" s="213">
        <v>0</v>
      </c>
      <c r="X2025" s="213">
        <v>0</v>
      </c>
    </row>
    <row r="2026" spans="3:24" ht="15" customHeight="1">
      <c r="C2026" s="3">
        <v>20</v>
      </c>
      <c r="D2026" s="15" t="s">
        <v>1448</v>
      </c>
      <c r="E2026" s="312" t="s">
        <v>167</v>
      </c>
      <c r="G2026" s="26">
        <v>2014</v>
      </c>
      <c r="H2026" s="26">
        <v>2345</v>
      </c>
      <c r="I2026" s="26">
        <v>2676</v>
      </c>
      <c r="J2026" s="26">
        <v>2661</v>
      </c>
      <c r="K2026" s="26">
        <v>2500</v>
      </c>
      <c r="L2026" s="26">
        <v>1171</v>
      </c>
      <c r="M2026" s="26">
        <v>2008</v>
      </c>
      <c r="N2026" s="26">
        <v>2725</v>
      </c>
      <c r="O2026" s="285"/>
      <c r="P2026" s="78"/>
      <c r="Q2026" s="202">
        <v>1853</v>
      </c>
      <c r="R2026" s="210">
        <v>20</v>
      </c>
      <c r="S2026" s="205" t="s">
        <v>1475</v>
      </c>
      <c r="T2026" s="206" t="s">
        <v>329</v>
      </c>
      <c r="U2026" s="211">
        <v>6000</v>
      </c>
      <c r="V2026" s="211">
        <v>0</v>
      </c>
      <c r="W2026" s="213">
        <v>5633.77</v>
      </c>
      <c r="X2026" s="213">
        <v>93.9</v>
      </c>
    </row>
    <row r="2027" spans="3:24" ht="15" customHeight="1">
      <c r="C2027" s="3">
        <v>20</v>
      </c>
      <c r="D2027" s="15" t="s">
        <v>1449</v>
      </c>
      <c r="E2027" s="312" t="s">
        <v>169</v>
      </c>
      <c r="G2027" s="26">
        <v>13914</v>
      </c>
      <c r="H2027" s="26">
        <v>10989</v>
      </c>
      <c r="I2027" s="26">
        <v>5235</v>
      </c>
      <c r="J2027" s="26">
        <v>7158</v>
      </c>
      <c r="K2027" s="26">
        <v>3500</v>
      </c>
      <c r="L2027" s="26">
        <v>8705</v>
      </c>
      <c r="M2027" s="26">
        <v>14923</v>
      </c>
      <c r="N2027" s="26">
        <v>0</v>
      </c>
      <c r="O2027" s="285" t="s">
        <v>2869</v>
      </c>
      <c r="P2027" s="78"/>
      <c r="Q2027" s="202">
        <v>1854</v>
      </c>
      <c r="R2027" s="210">
        <v>20</v>
      </c>
      <c r="S2027" s="205" t="s">
        <v>1476</v>
      </c>
      <c r="T2027" s="206" t="s">
        <v>165</v>
      </c>
      <c r="U2027" s="211">
        <v>0</v>
      </c>
      <c r="V2027" s="211">
        <v>0</v>
      </c>
      <c r="W2027" s="213">
        <v>0</v>
      </c>
      <c r="X2027" s="213">
        <v>0</v>
      </c>
    </row>
    <row r="2028" spans="3:24" ht="15" customHeight="1">
      <c r="C2028" s="3">
        <v>20</v>
      </c>
      <c r="D2028" s="15" t="s">
        <v>1450</v>
      </c>
      <c r="E2028" s="312" t="s">
        <v>1451</v>
      </c>
      <c r="G2028" s="26">
        <v>0</v>
      </c>
      <c r="H2028" s="26">
        <v>0</v>
      </c>
      <c r="I2028" s="26">
        <v>0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285"/>
      <c r="P2028" s="78"/>
      <c r="Q2028" s="202">
        <v>1855</v>
      </c>
      <c r="R2028" s="210">
        <v>20</v>
      </c>
      <c r="S2028" s="205" t="s">
        <v>1477</v>
      </c>
      <c r="T2028" s="206" t="s">
        <v>167</v>
      </c>
      <c r="U2028" s="211">
        <v>0</v>
      </c>
      <c r="V2028" s="211">
        <v>0</v>
      </c>
      <c r="W2028" s="213">
        <v>0</v>
      </c>
      <c r="X2028" s="213">
        <v>0</v>
      </c>
    </row>
    <row r="2029" spans="3:24" ht="15" customHeight="1">
      <c r="C2029" s="3">
        <v>20</v>
      </c>
      <c r="D2029" s="15" t="s">
        <v>1452</v>
      </c>
      <c r="E2029" s="312" t="s">
        <v>171</v>
      </c>
      <c r="G2029" s="26">
        <v>727</v>
      </c>
      <c r="H2029" s="26">
        <v>6522</v>
      </c>
      <c r="I2029" s="26">
        <v>3575</v>
      </c>
      <c r="J2029" s="26">
        <v>10576</v>
      </c>
      <c r="K2029" s="26">
        <v>8000</v>
      </c>
      <c r="L2029" s="26">
        <v>3645</v>
      </c>
      <c r="M2029" s="26">
        <v>6249</v>
      </c>
      <c r="N2029" s="26">
        <v>8000</v>
      </c>
      <c r="O2029" s="285"/>
      <c r="P2029" s="78"/>
      <c r="Q2029" s="202">
        <v>1856</v>
      </c>
      <c r="R2029" s="210">
        <v>20</v>
      </c>
      <c r="S2029" s="205" t="s">
        <v>1478</v>
      </c>
      <c r="T2029" s="206" t="s">
        <v>247</v>
      </c>
      <c r="U2029" s="211">
        <v>0</v>
      </c>
      <c r="V2029" s="211">
        <v>0</v>
      </c>
      <c r="W2029" s="213">
        <v>0</v>
      </c>
      <c r="X2029" s="213">
        <v>0</v>
      </c>
    </row>
    <row r="2030" spans="3:24" ht="15" customHeight="1">
      <c r="C2030" s="3">
        <v>20</v>
      </c>
      <c r="D2030" s="15" t="s">
        <v>1453</v>
      </c>
      <c r="E2030" s="312" t="s">
        <v>173</v>
      </c>
      <c r="G2030" s="26">
        <v>182</v>
      </c>
      <c r="H2030" s="26">
        <v>1351</v>
      </c>
      <c r="I2030" s="26">
        <v>1122</v>
      </c>
      <c r="J2030" s="26">
        <v>4879</v>
      </c>
      <c r="K2030" s="26">
        <v>2500</v>
      </c>
      <c r="L2030" s="26">
        <v>1200</v>
      </c>
      <c r="M2030" s="26">
        <v>2057</v>
      </c>
      <c r="N2030" s="26">
        <v>2500</v>
      </c>
      <c r="O2030" s="285"/>
      <c r="P2030" s="78"/>
      <c r="Q2030" s="202">
        <v>1857</v>
      </c>
      <c r="R2030" s="210">
        <v>20</v>
      </c>
      <c r="S2030" s="205" t="s">
        <v>1479</v>
      </c>
      <c r="T2030" s="206" t="s">
        <v>461</v>
      </c>
      <c r="U2030" s="211">
        <v>-17000</v>
      </c>
      <c r="V2030" s="211">
        <v>0</v>
      </c>
      <c r="W2030" s="213">
        <v>0</v>
      </c>
      <c r="X2030" s="213">
        <v>0</v>
      </c>
    </row>
    <row r="2031" spans="3:24" ht="15" customHeight="1">
      <c r="C2031" s="3">
        <v>20</v>
      </c>
      <c r="D2031" s="15" t="s">
        <v>1454</v>
      </c>
      <c r="E2031" s="312" t="s">
        <v>175</v>
      </c>
      <c r="G2031" s="26">
        <v>0</v>
      </c>
      <c r="H2031" s="26">
        <v>60</v>
      </c>
      <c r="I2031" s="26">
        <v>0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285"/>
      <c r="P2031" s="78"/>
      <c r="Q2031" s="202">
        <v>1858</v>
      </c>
      <c r="R2031" s="210">
        <v>20</v>
      </c>
      <c r="S2031" s="205" t="s">
        <v>1480</v>
      </c>
      <c r="T2031" s="206" t="s">
        <v>382</v>
      </c>
      <c r="U2031" s="211">
        <v>22000</v>
      </c>
      <c r="V2031" s="211">
        <v>0</v>
      </c>
      <c r="W2031" s="213">
        <v>25002.75</v>
      </c>
      <c r="X2031" s="213">
        <v>113.65</v>
      </c>
    </row>
    <row r="2032" spans="3:24" ht="15" customHeight="1">
      <c r="C2032" s="3">
        <v>20</v>
      </c>
      <c r="D2032" s="15" t="s">
        <v>1455</v>
      </c>
      <c r="E2032" s="312" t="s">
        <v>773</v>
      </c>
      <c r="G2032" s="26">
        <v>1935</v>
      </c>
      <c r="H2032" s="26">
        <v>6053</v>
      </c>
      <c r="I2032" s="26">
        <v>7270</v>
      </c>
      <c r="J2032" s="26">
        <v>7727</v>
      </c>
      <c r="K2032" s="26">
        <v>10000</v>
      </c>
      <c r="L2032" s="26">
        <v>1765</v>
      </c>
      <c r="M2032" s="26">
        <v>3026</v>
      </c>
      <c r="N2032" s="26">
        <v>10000</v>
      </c>
      <c r="O2032" s="285"/>
      <c r="P2032" s="78"/>
      <c r="Q2032" s="202">
        <v>1859</v>
      </c>
      <c r="R2032" s="210">
        <v>20</v>
      </c>
      <c r="S2032" s="205" t="s">
        <v>1481</v>
      </c>
      <c r="T2032" s="206" t="s">
        <v>173</v>
      </c>
      <c r="U2032" s="211">
        <v>0</v>
      </c>
      <c r="V2032" s="211">
        <v>0</v>
      </c>
      <c r="W2032" s="213">
        <v>0</v>
      </c>
      <c r="X2032" s="213">
        <v>0</v>
      </c>
    </row>
    <row r="2033" spans="1:24" ht="15" customHeight="1">
      <c r="C2033" s="3">
        <v>20</v>
      </c>
      <c r="D2033" s="15" t="s">
        <v>1456</v>
      </c>
      <c r="E2033" s="312" t="s">
        <v>1457</v>
      </c>
      <c r="G2033" s="26">
        <v>46851</v>
      </c>
      <c r="H2033" s="26">
        <v>52815</v>
      </c>
      <c r="I2033" s="26">
        <v>49920</v>
      </c>
      <c r="J2033" s="26">
        <v>38705</v>
      </c>
      <c r="K2033" s="26">
        <v>45000</v>
      </c>
      <c r="L2033" s="26">
        <v>9760</v>
      </c>
      <c r="M2033" s="26">
        <v>16731</v>
      </c>
      <c r="N2033" s="26">
        <v>20000</v>
      </c>
      <c r="O2033" s="285" t="s">
        <v>2942</v>
      </c>
      <c r="P2033" s="78"/>
      <c r="Q2033" s="202">
        <v>1860</v>
      </c>
      <c r="R2033" s="210">
        <v>20</v>
      </c>
      <c r="S2033" s="205" t="s">
        <v>1482</v>
      </c>
      <c r="T2033" s="206" t="s">
        <v>773</v>
      </c>
      <c r="U2033" s="211">
        <v>0</v>
      </c>
      <c r="V2033" s="211">
        <v>0</v>
      </c>
      <c r="W2033" s="213">
        <v>0</v>
      </c>
      <c r="X2033" s="213">
        <v>0</v>
      </c>
    </row>
    <row r="2034" spans="1:24" ht="15" customHeight="1">
      <c r="C2034" s="3">
        <v>20</v>
      </c>
      <c r="D2034" s="15" t="s">
        <v>1458</v>
      </c>
      <c r="E2034" s="312" t="s">
        <v>1459</v>
      </c>
      <c r="G2034" s="26">
        <v>0</v>
      </c>
      <c r="H2034" s="26">
        <v>0</v>
      </c>
      <c r="I2034" s="26">
        <v>0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285"/>
      <c r="P2034" s="81"/>
      <c r="Q2034" s="202">
        <v>1861</v>
      </c>
      <c r="R2034" s="210">
        <v>20</v>
      </c>
      <c r="S2034" s="205" t="s">
        <v>1483</v>
      </c>
      <c r="T2034" s="206" t="s">
        <v>1457</v>
      </c>
      <c r="U2034" s="211">
        <v>0</v>
      </c>
      <c r="V2034" s="211">
        <v>0</v>
      </c>
      <c r="W2034" s="213">
        <v>0</v>
      </c>
      <c r="X2034" s="213">
        <v>0</v>
      </c>
    </row>
    <row r="2035" spans="1:24" ht="15" customHeight="1">
      <c r="C2035" s="3">
        <v>20</v>
      </c>
      <c r="D2035" s="15" t="s">
        <v>1460</v>
      </c>
      <c r="E2035" s="312" t="s">
        <v>244</v>
      </c>
      <c r="G2035" s="26">
        <v>118</v>
      </c>
      <c r="H2035" s="26">
        <v>0</v>
      </c>
      <c r="I2035" s="26">
        <v>0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285"/>
      <c r="P2035" s="83"/>
      <c r="Q2035" s="202">
        <v>1862</v>
      </c>
      <c r="R2035" s="210">
        <v>20</v>
      </c>
      <c r="S2035" s="205" t="s">
        <v>1484</v>
      </c>
      <c r="T2035" s="206" t="s">
        <v>244</v>
      </c>
      <c r="U2035" s="211">
        <v>0</v>
      </c>
      <c r="V2035" s="211">
        <v>0</v>
      </c>
      <c r="W2035" s="213">
        <v>0</v>
      </c>
      <c r="X2035" s="213">
        <v>0</v>
      </c>
    </row>
    <row r="2036" spans="1:24" ht="15" customHeight="1">
      <c r="C2036" s="3">
        <v>20</v>
      </c>
      <c r="D2036" s="15" t="s">
        <v>1461</v>
      </c>
      <c r="E2036" s="312" t="s">
        <v>762</v>
      </c>
      <c r="G2036" s="26">
        <v>4973</v>
      </c>
      <c r="H2036" s="26">
        <v>9737</v>
      </c>
      <c r="I2036" s="26">
        <v>17470</v>
      </c>
      <c r="J2036" s="26">
        <v>12733</v>
      </c>
      <c r="K2036" s="26">
        <v>10000</v>
      </c>
      <c r="L2036" s="26">
        <v>9631</v>
      </c>
      <c r="M2036" s="26">
        <v>16510</v>
      </c>
      <c r="N2036" s="26">
        <v>10800</v>
      </c>
      <c r="O2036" s="285" t="s">
        <v>2845</v>
      </c>
      <c r="P2036" s="78"/>
      <c r="Q2036" s="202">
        <v>1863</v>
      </c>
      <c r="R2036" s="210">
        <v>20</v>
      </c>
      <c r="S2036" s="205" t="s">
        <v>1485</v>
      </c>
      <c r="T2036" s="206" t="s">
        <v>762</v>
      </c>
      <c r="U2036" s="211">
        <v>0</v>
      </c>
      <c r="V2036" s="211">
        <v>0</v>
      </c>
      <c r="W2036" s="213">
        <v>0</v>
      </c>
      <c r="X2036" s="213">
        <v>0</v>
      </c>
    </row>
    <row r="2037" spans="1:24" ht="15" customHeight="1">
      <c r="C2037" s="3">
        <v>20</v>
      </c>
      <c r="D2037" s="15" t="s">
        <v>1462</v>
      </c>
      <c r="E2037" s="312" t="s">
        <v>1463</v>
      </c>
      <c r="G2037" s="26">
        <v>18966</v>
      </c>
      <c r="H2037" s="26">
        <v>14741</v>
      </c>
      <c r="I2037" s="26">
        <v>9063</v>
      </c>
      <c r="J2037" s="26">
        <v>11186</v>
      </c>
      <c r="K2037" s="26">
        <v>10000</v>
      </c>
      <c r="L2037" s="26">
        <v>10663</v>
      </c>
      <c r="M2037" s="26">
        <v>18280</v>
      </c>
      <c r="N2037" s="26">
        <v>20000</v>
      </c>
      <c r="O2037" s="285" t="s">
        <v>2702</v>
      </c>
      <c r="P2037" s="78"/>
      <c r="Q2037" s="202">
        <v>1864</v>
      </c>
      <c r="R2037" s="210">
        <v>20</v>
      </c>
      <c r="S2037" s="205" t="s">
        <v>1486</v>
      </c>
      <c r="T2037" s="206" t="s">
        <v>764</v>
      </c>
      <c r="U2037" s="211">
        <v>0</v>
      </c>
      <c r="V2037" s="211">
        <v>0</v>
      </c>
      <c r="W2037" s="213">
        <v>0</v>
      </c>
      <c r="X2037" s="213">
        <v>0</v>
      </c>
    </row>
    <row r="2038" spans="1:24" ht="15" customHeight="1">
      <c r="C2038" s="3">
        <v>20</v>
      </c>
      <c r="D2038" s="15" t="s">
        <v>1464</v>
      </c>
      <c r="E2038" s="312" t="s">
        <v>1019</v>
      </c>
      <c r="G2038" s="26">
        <v>28959</v>
      </c>
      <c r="H2038" s="26">
        <v>31665</v>
      </c>
      <c r="I2038" s="26">
        <v>22826</v>
      </c>
      <c r="J2038" s="26">
        <v>26528</v>
      </c>
      <c r="K2038" s="26">
        <v>15000</v>
      </c>
      <c r="L2038" s="26">
        <v>16203</v>
      </c>
      <c r="M2038" s="26">
        <v>23000</v>
      </c>
      <c r="N2038" s="26">
        <v>20000</v>
      </c>
      <c r="O2038" s="285" t="s">
        <v>2703</v>
      </c>
      <c r="P2038" s="73"/>
      <c r="Q2038" s="202">
        <v>1865</v>
      </c>
      <c r="R2038" s="210">
        <v>20</v>
      </c>
      <c r="S2038" s="205" t="s">
        <v>1487</v>
      </c>
      <c r="T2038" s="206" t="s">
        <v>1019</v>
      </c>
      <c r="U2038" s="211">
        <v>0</v>
      </c>
      <c r="V2038" s="211">
        <v>0</v>
      </c>
      <c r="W2038" s="213">
        <v>0</v>
      </c>
      <c r="X2038" s="213">
        <v>0</v>
      </c>
    </row>
    <row r="2039" spans="1:24" ht="15" customHeight="1">
      <c r="C2039" s="3">
        <v>20</v>
      </c>
      <c r="D2039" s="15" t="s">
        <v>1465</v>
      </c>
      <c r="E2039" s="312" t="s">
        <v>1466</v>
      </c>
      <c r="G2039" s="26">
        <v>1577</v>
      </c>
      <c r="H2039" s="26">
        <v>4923</v>
      </c>
      <c r="I2039" s="26">
        <v>3016</v>
      </c>
      <c r="J2039" s="26">
        <v>296</v>
      </c>
      <c r="K2039" s="26">
        <v>3500</v>
      </c>
      <c r="L2039" s="26">
        <v>5126</v>
      </c>
      <c r="M2039" s="26">
        <v>7500</v>
      </c>
      <c r="N2039" s="26">
        <v>3800</v>
      </c>
      <c r="O2039" s="285"/>
      <c r="P2039" s="73"/>
      <c r="Q2039" s="202">
        <v>1866</v>
      </c>
      <c r="R2039" s="210">
        <v>20</v>
      </c>
      <c r="S2039" s="205" t="s">
        <v>1488</v>
      </c>
      <c r="T2039" s="206" t="s">
        <v>1466</v>
      </c>
      <c r="U2039" s="211">
        <v>0</v>
      </c>
      <c r="V2039" s="211">
        <v>0</v>
      </c>
      <c r="W2039" s="213">
        <v>0</v>
      </c>
      <c r="X2039" s="213">
        <v>0</v>
      </c>
    </row>
    <row r="2040" spans="1:24" ht="15" customHeight="1">
      <c r="G2040" s="26"/>
      <c r="H2040" s="26"/>
      <c r="I2040" s="26"/>
      <c r="J2040" s="26"/>
      <c r="K2040" s="26"/>
      <c r="L2040" s="26"/>
      <c r="M2040" s="26"/>
      <c r="N2040" s="26"/>
      <c r="P2040" s="73"/>
      <c r="Q2040" s="202">
        <v>1867</v>
      </c>
      <c r="R2040" s="210">
        <v>20</v>
      </c>
      <c r="S2040" s="205" t="s">
        <v>2623</v>
      </c>
      <c r="T2040" s="206"/>
      <c r="U2040" s="211"/>
      <c r="V2040" s="211"/>
      <c r="W2040" s="213"/>
      <c r="X2040" s="213"/>
    </row>
    <row r="2041" spans="1:24" s="23" customFormat="1" ht="15" customHeight="1">
      <c r="A2041" s="5" t="s">
        <v>163</v>
      </c>
      <c r="B2041" s="62" t="s">
        <v>2317</v>
      </c>
      <c r="C2041" s="3"/>
      <c r="D2041" s="323" t="s">
        <v>3085</v>
      </c>
      <c r="E2041" s="323"/>
      <c r="F2041" s="324"/>
      <c r="G2041" s="325">
        <f>SUM(G2014:G2040)</f>
        <v>132798</v>
      </c>
      <c r="H2041" s="325">
        <f t="shared" ref="H2041:N2041" si="169">SUM(H2014:H2040)</f>
        <v>154431</v>
      </c>
      <c r="I2041" s="325">
        <f t="shared" si="169"/>
        <v>135872</v>
      </c>
      <c r="J2041" s="325">
        <f t="shared" si="169"/>
        <v>134316</v>
      </c>
      <c r="K2041" s="325">
        <f t="shared" si="169"/>
        <v>123500</v>
      </c>
      <c r="L2041" s="325">
        <f t="shared" si="169"/>
        <v>82045</v>
      </c>
      <c r="M2041" s="325">
        <f t="shared" si="169"/>
        <v>134586</v>
      </c>
      <c r="N2041" s="325">
        <f t="shared" si="169"/>
        <v>111845</v>
      </c>
      <c r="O2041" s="19"/>
      <c r="P2041" s="73"/>
      <c r="Q2041" s="202">
        <v>1868</v>
      </c>
      <c r="R2041" s="210">
        <v>20</v>
      </c>
      <c r="S2041" s="205" t="s">
        <v>245</v>
      </c>
      <c r="T2041" s="206"/>
      <c r="U2041" s="211">
        <v>16000</v>
      </c>
      <c r="V2041" s="211">
        <v>0</v>
      </c>
      <c r="W2041" s="213">
        <v>30636.52</v>
      </c>
      <c r="X2041" s="213">
        <v>0</v>
      </c>
    </row>
    <row r="2042" spans="1:24" s="46" customFormat="1" ht="15" customHeight="1">
      <c r="B2042" s="14"/>
      <c r="C2042" s="3"/>
      <c r="D2042" s="47"/>
      <c r="E2042" s="47"/>
      <c r="F2042" s="191"/>
      <c r="G2042" s="48"/>
      <c r="H2042" s="48"/>
      <c r="I2042" s="48"/>
      <c r="J2042" s="48"/>
      <c r="K2042" s="48"/>
      <c r="L2042" s="48"/>
      <c r="M2042" s="48"/>
      <c r="N2042" s="48"/>
      <c r="O2042" s="47"/>
      <c r="P2042" s="73"/>
      <c r="Q2042" s="202">
        <v>1869</v>
      </c>
      <c r="R2042" s="210">
        <v>20</v>
      </c>
      <c r="S2042" s="205" t="s">
        <v>2623</v>
      </c>
      <c r="T2042" s="206"/>
      <c r="U2042" s="211"/>
      <c r="V2042" s="211"/>
      <c r="W2042" s="213"/>
      <c r="X2042" s="213"/>
    </row>
    <row r="2043" spans="1:24" ht="15" customHeight="1">
      <c r="D2043" s="47" t="s">
        <v>2338</v>
      </c>
      <c r="G2043" s="26"/>
      <c r="H2043" s="26"/>
      <c r="I2043" s="26"/>
      <c r="J2043" s="26"/>
      <c r="K2043" s="26"/>
      <c r="L2043" s="26"/>
      <c r="M2043" s="26"/>
      <c r="N2043" s="26"/>
      <c r="P2043" s="73"/>
      <c r="Q2043" s="202">
        <v>1870</v>
      </c>
      <c r="R2043" s="210">
        <v>20</v>
      </c>
      <c r="S2043" s="205" t="s">
        <v>2631</v>
      </c>
      <c r="T2043" s="206"/>
      <c r="U2043" s="211">
        <v>1739447</v>
      </c>
      <c r="V2043" s="211">
        <v>128309.26</v>
      </c>
      <c r="W2043" s="213">
        <v>1081946.8600000001</v>
      </c>
      <c r="X2043" s="213">
        <v>62.2</v>
      </c>
    </row>
    <row r="2044" spans="1:24" ht="15" customHeight="1">
      <c r="G2044" s="26"/>
      <c r="H2044" s="26"/>
      <c r="I2044" s="26"/>
      <c r="J2044" s="26"/>
      <c r="K2044" s="26"/>
      <c r="L2044" s="26"/>
      <c r="M2044" s="26"/>
      <c r="N2044" s="26"/>
      <c r="P2044" s="73"/>
      <c r="Q2044" s="202">
        <v>1871</v>
      </c>
      <c r="R2044" s="210">
        <v>20</v>
      </c>
      <c r="S2044" s="205" t="s">
        <v>2621</v>
      </c>
      <c r="T2044" s="206"/>
      <c r="U2044" s="211"/>
      <c r="V2044" s="211"/>
      <c r="W2044" s="213"/>
      <c r="X2044" s="213"/>
    </row>
    <row r="2045" spans="1:24" ht="15" customHeight="1">
      <c r="C2045" s="3">
        <v>20</v>
      </c>
      <c r="D2045" s="15" t="s">
        <v>1467</v>
      </c>
      <c r="E2045" s="312" t="s">
        <v>1673</v>
      </c>
      <c r="G2045" s="26">
        <v>0</v>
      </c>
      <c r="H2045" s="26">
        <v>5000</v>
      </c>
      <c r="I2045" s="26">
        <v>0</v>
      </c>
      <c r="J2045" s="26">
        <v>0</v>
      </c>
      <c r="K2045" s="26">
        <v>5000</v>
      </c>
      <c r="L2045" s="26">
        <v>0</v>
      </c>
      <c r="M2045" s="26">
        <v>0</v>
      </c>
      <c r="N2045" s="26">
        <v>5000</v>
      </c>
      <c r="O2045" s="285"/>
      <c r="P2045" s="73"/>
      <c r="Q2045" s="202">
        <v>1872</v>
      </c>
      <c r="R2045" s="210">
        <v>20</v>
      </c>
      <c r="S2045" s="205" t="s">
        <v>2622</v>
      </c>
      <c r="T2045" s="206"/>
      <c r="U2045" s="211"/>
      <c r="V2045" s="211"/>
      <c r="W2045" s="213"/>
      <c r="X2045" s="213"/>
    </row>
    <row r="2046" spans="1:24" ht="15" customHeight="1">
      <c r="C2046" s="3">
        <v>20</v>
      </c>
      <c r="D2046" s="15" t="s">
        <v>1468</v>
      </c>
      <c r="E2046" s="312" t="s">
        <v>435</v>
      </c>
      <c r="G2046" s="26">
        <v>91942</v>
      </c>
      <c r="H2046" s="26">
        <v>0</v>
      </c>
      <c r="I2046" s="26">
        <v>0</v>
      </c>
      <c r="J2046" s="26">
        <v>0</v>
      </c>
      <c r="K2046" s="26">
        <v>0</v>
      </c>
      <c r="L2046" s="26">
        <v>0</v>
      </c>
      <c r="M2046" s="26">
        <v>0</v>
      </c>
      <c r="N2046" s="26">
        <v>0</v>
      </c>
      <c r="O2046" s="285"/>
      <c r="P2046" s="73"/>
      <c r="Q2046" s="202">
        <v>1873</v>
      </c>
      <c r="R2046" s="210">
        <v>20</v>
      </c>
      <c r="S2046" s="205" t="s">
        <v>1489</v>
      </c>
      <c r="T2046" s="206" t="s">
        <v>79</v>
      </c>
      <c r="U2046" s="211">
        <v>218576</v>
      </c>
      <c r="V2046" s="211">
        <v>20220.59</v>
      </c>
      <c r="W2046" s="213">
        <v>147634.31</v>
      </c>
      <c r="X2046" s="213">
        <v>67.540000000000006</v>
      </c>
    </row>
    <row r="2047" spans="1:24" ht="15" customHeight="1">
      <c r="C2047" s="3">
        <v>20</v>
      </c>
      <c r="D2047" s="15" t="s">
        <v>1469</v>
      </c>
      <c r="E2047" s="312" t="s">
        <v>232</v>
      </c>
      <c r="G2047" s="26">
        <v>0</v>
      </c>
      <c r="H2047" s="26">
        <v>0</v>
      </c>
      <c r="I2047" s="26">
        <v>0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285"/>
      <c r="P2047" s="73"/>
      <c r="Q2047" s="202">
        <v>1874</v>
      </c>
      <c r="R2047" s="210">
        <v>20</v>
      </c>
      <c r="S2047" s="205" t="s">
        <v>1490</v>
      </c>
      <c r="T2047" s="206" t="s">
        <v>81</v>
      </c>
      <c r="U2047" s="211">
        <v>39954</v>
      </c>
      <c r="V2047" s="211">
        <v>3329.52</v>
      </c>
      <c r="W2047" s="213">
        <v>26636.16</v>
      </c>
      <c r="X2047" s="213">
        <v>66.67</v>
      </c>
    </row>
    <row r="2048" spans="1:24" ht="15" customHeight="1">
      <c r="C2048" s="3">
        <v>20</v>
      </c>
      <c r="D2048" s="15" t="s">
        <v>1470</v>
      </c>
      <c r="E2048" s="312" t="s">
        <v>1471</v>
      </c>
      <c r="G2048" s="26">
        <v>0</v>
      </c>
      <c r="H2048" s="26">
        <v>0</v>
      </c>
      <c r="I2048" s="26">
        <v>0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285"/>
      <c r="P2048" s="73"/>
      <c r="Q2048" s="202">
        <v>1875</v>
      </c>
      <c r="R2048" s="210">
        <v>20</v>
      </c>
      <c r="S2048" s="205" t="s">
        <v>1491</v>
      </c>
      <c r="T2048" s="206" t="s">
        <v>83</v>
      </c>
      <c r="U2048" s="211">
        <v>0</v>
      </c>
      <c r="V2048" s="211">
        <v>0</v>
      </c>
      <c r="W2048" s="213">
        <v>0</v>
      </c>
      <c r="X2048" s="213">
        <v>0</v>
      </c>
    </row>
    <row r="2049" spans="3:24" ht="15" customHeight="1">
      <c r="C2049" s="3">
        <v>20</v>
      </c>
      <c r="D2049" s="15" t="s">
        <v>1472</v>
      </c>
      <c r="E2049" s="312" t="s">
        <v>1473</v>
      </c>
      <c r="G2049" s="26">
        <v>0</v>
      </c>
      <c r="H2049" s="26">
        <v>0</v>
      </c>
      <c r="I2049" s="26">
        <v>0</v>
      </c>
      <c r="J2049" s="26">
        <v>0</v>
      </c>
      <c r="K2049" s="26">
        <v>0</v>
      </c>
      <c r="L2049" s="26">
        <v>0</v>
      </c>
      <c r="M2049" s="26">
        <v>0</v>
      </c>
      <c r="N2049" s="26">
        <v>0</v>
      </c>
      <c r="O2049" s="285"/>
      <c r="P2049" s="73"/>
      <c r="Q2049" s="202">
        <v>1876</v>
      </c>
      <c r="R2049" s="210">
        <v>20</v>
      </c>
      <c r="S2049" s="205" t="s">
        <v>1492</v>
      </c>
      <c r="T2049" s="206" t="s">
        <v>85</v>
      </c>
      <c r="U2049" s="211">
        <v>1928</v>
      </c>
      <c r="V2049" s="211">
        <v>0</v>
      </c>
      <c r="W2049" s="213">
        <v>1511.15</v>
      </c>
      <c r="X2049" s="213">
        <v>78.38</v>
      </c>
    </row>
    <row r="2050" spans="3:24" ht="15" customHeight="1">
      <c r="C2050" s="3">
        <v>20</v>
      </c>
      <c r="D2050" s="15" t="s">
        <v>1474</v>
      </c>
      <c r="E2050" s="312" t="s">
        <v>445</v>
      </c>
      <c r="G2050" s="26">
        <v>0</v>
      </c>
      <c r="H2050" s="26">
        <v>0</v>
      </c>
      <c r="I2050" s="26">
        <v>0</v>
      </c>
      <c r="J2050" s="26">
        <v>0</v>
      </c>
      <c r="K2050" s="26">
        <v>0</v>
      </c>
      <c r="L2050" s="26">
        <v>0</v>
      </c>
      <c r="M2050" s="26">
        <v>0</v>
      </c>
      <c r="N2050" s="26">
        <v>0</v>
      </c>
      <c r="O2050" s="285"/>
      <c r="P2050" s="78"/>
      <c r="Q2050" s="202">
        <v>1877</v>
      </c>
      <c r="R2050" s="210">
        <v>20</v>
      </c>
      <c r="S2050" s="205" t="s">
        <v>1493</v>
      </c>
      <c r="T2050" s="206" t="s">
        <v>87</v>
      </c>
      <c r="U2050" s="211">
        <v>16765</v>
      </c>
      <c r="V2050" s="211">
        <v>1592.18</v>
      </c>
      <c r="W2050" s="213">
        <v>11697.06</v>
      </c>
      <c r="X2050" s="213">
        <v>69.77</v>
      </c>
    </row>
    <row r="2051" spans="3:24" ht="15" customHeight="1">
      <c r="C2051" s="3">
        <v>20</v>
      </c>
      <c r="D2051" s="15" t="s">
        <v>1475</v>
      </c>
      <c r="E2051" s="312" t="s">
        <v>329</v>
      </c>
      <c r="G2051" s="26">
        <v>0</v>
      </c>
      <c r="H2051" s="26">
        <v>0</v>
      </c>
      <c r="I2051" s="26">
        <v>0</v>
      </c>
      <c r="J2051" s="26">
        <v>0</v>
      </c>
      <c r="K2051" s="26">
        <v>6000</v>
      </c>
      <c r="L2051" s="26">
        <v>5634</v>
      </c>
      <c r="M2051" s="26">
        <v>5634</v>
      </c>
      <c r="N2051" s="26">
        <v>0</v>
      </c>
      <c r="O2051" s="285" t="s">
        <v>2870</v>
      </c>
      <c r="P2051" s="199"/>
      <c r="Q2051" s="202">
        <v>1878</v>
      </c>
      <c r="R2051" s="210">
        <v>20</v>
      </c>
      <c r="S2051" s="205" t="s">
        <v>1494</v>
      </c>
      <c r="T2051" s="206" t="s">
        <v>89</v>
      </c>
      <c r="U2051" s="211">
        <v>35103</v>
      </c>
      <c r="V2051" s="211">
        <v>3473.4</v>
      </c>
      <c r="W2051" s="213">
        <v>25580.15</v>
      </c>
      <c r="X2051" s="213">
        <v>72.87</v>
      </c>
    </row>
    <row r="2052" spans="3:24" ht="15" customHeight="1">
      <c r="C2052" s="3">
        <v>20</v>
      </c>
      <c r="D2052" s="15" t="s">
        <v>1476</v>
      </c>
      <c r="E2052" s="312" t="s">
        <v>165</v>
      </c>
      <c r="G2052" s="26">
        <v>0</v>
      </c>
      <c r="H2052" s="26">
        <v>0</v>
      </c>
      <c r="I2052" s="26">
        <v>0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285"/>
      <c r="P2052" s="83"/>
      <c r="Q2052" s="202">
        <v>1879</v>
      </c>
      <c r="R2052" s="210">
        <v>20</v>
      </c>
      <c r="S2052" s="205" t="s">
        <v>1495</v>
      </c>
      <c r="T2052" s="206" t="s">
        <v>2554</v>
      </c>
      <c r="U2052" s="211">
        <v>0</v>
      </c>
      <c r="V2052" s="211">
        <v>0</v>
      </c>
      <c r="W2052" s="213">
        <v>0</v>
      </c>
      <c r="X2052" s="213">
        <v>0</v>
      </c>
    </row>
    <row r="2053" spans="3:24" ht="15" customHeight="1">
      <c r="C2053" s="3">
        <v>20</v>
      </c>
      <c r="D2053" s="15" t="s">
        <v>1477</v>
      </c>
      <c r="E2053" s="312" t="s">
        <v>167</v>
      </c>
      <c r="G2053" s="26">
        <v>6218</v>
      </c>
      <c r="H2053" s="26">
        <v>0</v>
      </c>
      <c r="I2053" s="26">
        <v>0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285"/>
      <c r="P2053" s="78"/>
      <c r="Q2053" s="202">
        <v>1880</v>
      </c>
      <c r="R2053" s="210">
        <v>20</v>
      </c>
      <c r="S2053" s="205" t="s">
        <v>1496</v>
      </c>
      <c r="T2053" s="206" t="s">
        <v>91</v>
      </c>
      <c r="U2053" s="211">
        <v>4000</v>
      </c>
      <c r="V2053" s="211">
        <v>418.77</v>
      </c>
      <c r="W2053" s="213">
        <v>3322.39</v>
      </c>
      <c r="X2053" s="213">
        <v>83.06</v>
      </c>
    </row>
    <row r="2054" spans="3:24" ht="15" customHeight="1">
      <c r="C2054" s="3">
        <v>20</v>
      </c>
      <c r="D2054" s="15" t="s">
        <v>1478</v>
      </c>
      <c r="E2054" s="312" t="s">
        <v>247</v>
      </c>
      <c r="G2054" s="26">
        <v>0</v>
      </c>
      <c r="H2054" s="26">
        <v>5038</v>
      </c>
      <c r="I2054" s="26">
        <v>0</v>
      </c>
      <c r="J2054" s="26">
        <v>5611</v>
      </c>
      <c r="K2054" s="26">
        <v>0</v>
      </c>
      <c r="L2054" s="26">
        <v>0</v>
      </c>
      <c r="M2054" s="26">
        <v>0</v>
      </c>
      <c r="N2054" s="26">
        <v>0</v>
      </c>
      <c r="O2054" s="285"/>
      <c r="P2054" s="78"/>
      <c r="Q2054" s="202">
        <v>1881</v>
      </c>
      <c r="R2054" s="210">
        <v>20</v>
      </c>
      <c r="S2054" s="205" t="s">
        <v>1497</v>
      </c>
      <c r="T2054" s="206" t="s">
        <v>93</v>
      </c>
      <c r="U2054" s="211">
        <v>0</v>
      </c>
      <c r="V2054" s="211">
        <v>0</v>
      </c>
      <c r="W2054" s="213">
        <v>0</v>
      </c>
      <c r="X2054" s="213">
        <v>0</v>
      </c>
    </row>
    <row r="2055" spans="3:24" ht="15" customHeight="1">
      <c r="C2055" s="3">
        <v>20</v>
      </c>
      <c r="D2055" s="15" t="s">
        <v>1479</v>
      </c>
      <c r="E2055" s="312" t="s">
        <v>461</v>
      </c>
      <c r="G2055" s="26">
        <v>0</v>
      </c>
      <c r="H2055" s="26">
        <v>41196</v>
      </c>
      <c r="I2055" s="26">
        <v>-35495</v>
      </c>
      <c r="J2055" s="26">
        <v>0</v>
      </c>
      <c r="K2055" s="26">
        <v>-17000</v>
      </c>
      <c r="L2055" s="26">
        <v>0</v>
      </c>
      <c r="M2055" s="26">
        <v>-18000</v>
      </c>
      <c r="N2055" s="26">
        <v>0</v>
      </c>
      <c r="O2055" s="297" t="s">
        <v>2951</v>
      </c>
      <c r="P2055" s="73"/>
      <c r="Q2055" s="202">
        <v>1882</v>
      </c>
      <c r="R2055" s="210">
        <v>20</v>
      </c>
      <c r="S2055" s="205" t="s">
        <v>1498</v>
      </c>
      <c r="T2055" s="206" t="s">
        <v>95</v>
      </c>
      <c r="U2055" s="211">
        <v>2250</v>
      </c>
      <c r="V2055" s="211">
        <v>175</v>
      </c>
      <c r="W2055" s="213">
        <v>1575</v>
      </c>
      <c r="X2055" s="213">
        <v>70</v>
      </c>
    </row>
    <row r="2056" spans="3:24" ht="15" customHeight="1">
      <c r="C2056" s="3">
        <v>20</v>
      </c>
      <c r="D2056" s="15" t="s">
        <v>1480</v>
      </c>
      <c r="E2056" s="312" t="s">
        <v>382</v>
      </c>
      <c r="G2056" s="26">
        <v>7770</v>
      </c>
      <c r="H2056" s="26">
        <v>-32196</v>
      </c>
      <c r="I2056" s="26">
        <v>47471</v>
      </c>
      <c r="J2056" s="26">
        <v>0</v>
      </c>
      <c r="K2056" s="26">
        <v>22000</v>
      </c>
      <c r="L2056" s="26">
        <v>25003</v>
      </c>
      <c r="M2056" s="26">
        <v>25000</v>
      </c>
      <c r="N2056" s="26">
        <v>0</v>
      </c>
      <c r="O2056" s="297" t="s">
        <v>2949</v>
      </c>
      <c r="P2056" s="73"/>
      <c r="Q2056" s="202">
        <v>1883</v>
      </c>
      <c r="R2056" s="210">
        <v>20</v>
      </c>
      <c r="S2056" s="205" t="s">
        <v>1499</v>
      </c>
      <c r="T2056" s="206" t="s">
        <v>97</v>
      </c>
      <c r="U2056" s="211">
        <v>5532</v>
      </c>
      <c r="V2056" s="211">
        <v>508</v>
      </c>
      <c r="W2056" s="213">
        <v>3869</v>
      </c>
      <c r="X2056" s="213">
        <v>69.94</v>
      </c>
    </row>
    <row r="2057" spans="3:24" ht="15" customHeight="1">
      <c r="C2057" s="3">
        <v>20</v>
      </c>
      <c r="D2057" s="15" t="s">
        <v>1481</v>
      </c>
      <c r="E2057" s="312" t="s">
        <v>173</v>
      </c>
      <c r="G2057" s="26">
        <v>0</v>
      </c>
      <c r="H2057" s="26">
        <v>0</v>
      </c>
      <c r="I2057" s="26">
        <v>0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297" t="s">
        <v>2950</v>
      </c>
      <c r="P2057" s="73"/>
      <c r="Q2057" s="202">
        <v>1884</v>
      </c>
      <c r="R2057" s="210">
        <v>20</v>
      </c>
      <c r="S2057" s="205" t="s">
        <v>1500</v>
      </c>
      <c r="T2057" s="206" t="s">
        <v>99</v>
      </c>
      <c r="U2057" s="211">
        <v>354</v>
      </c>
      <c r="V2057" s="211">
        <v>0</v>
      </c>
      <c r="W2057" s="213">
        <v>343.44</v>
      </c>
      <c r="X2057" s="213">
        <v>97.02</v>
      </c>
    </row>
    <row r="2058" spans="3:24" ht="15" customHeight="1">
      <c r="C2058" s="3">
        <v>20</v>
      </c>
      <c r="D2058" s="15" t="s">
        <v>1482</v>
      </c>
      <c r="E2058" s="312" t="s">
        <v>773</v>
      </c>
      <c r="G2058" s="26">
        <v>0</v>
      </c>
      <c r="H2058" s="26">
        <v>0</v>
      </c>
      <c r="I2058" s="26">
        <v>60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285"/>
      <c r="P2058" s="73"/>
      <c r="Q2058" s="202">
        <v>1885</v>
      </c>
      <c r="R2058" s="210">
        <v>20</v>
      </c>
      <c r="S2058" s="205" t="s">
        <v>1501</v>
      </c>
      <c r="T2058" s="206" t="s">
        <v>101</v>
      </c>
      <c r="U2058" s="211">
        <v>0</v>
      </c>
      <c r="V2058" s="211">
        <v>0</v>
      </c>
      <c r="W2058" s="213">
        <v>0</v>
      </c>
      <c r="X2058" s="213">
        <v>0</v>
      </c>
    </row>
    <row r="2059" spans="3:24" ht="15" customHeight="1">
      <c r="C2059" s="3">
        <v>20</v>
      </c>
      <c r="D2059" s="15" t="s">
        <v>1483</v>
      </c>
      <c r="E2059" s="312" t="s">
        <v>1457</v>
      </c>
      <c r="G2059" s="26">
        <v>-2030</v>
      </c>
      <c r="H2059" s="26">
        <v>0</v>
      </c>
      <c r="I2059" s="26">
        <v>9931</v>
      </c>
      <c r="J2059" s="26">
        <v>2547</v>
      </c>
      <c r="K2059" s="26">
        <v>0</v>
      </c>
      <c r="L2059" s="26">
        <v>0</v>
      </c>
      <c r="M2059" s="26">
        <v>0</v>
      </c>
      <c r="N2059" s="26">
        <v>0</v>
      </c>
      <c r="O2059" s="285"/>
      <c r="P2059" s="73"/>
      <c r="Q2059" s="202">
        <v>1886</v>
      </c>
      <c r="R2059" s="210">
        <v>20</v>
      </c>
      <c r="S2059" s="205" t="s">
        <v>1502</v>
      </c>
      <c r="T2059" s="206" t="s">
        <v>103</v>
      </c>
      <c r="U2059" s="211">
        <v>0</v>
      </c>
      <c r="V2059" s="211">
        <v>0</v>
      </c>
      <c r="W2059" s="213">
        <v>0</v>
      </c>
      <c r="X2059" s="213">
        <v>0</v>
      </c>
    </row>
    <row r="2060" spans="3:24" ht="15" customHeight="1">
      <c r="C2060" s="3">
        <v>20</v>
      </c>
      <c r="D2060" s="15" t="s">
        <v>1484</v>
      </c>
      <c r="E2060" s="312" t="s">
        <v>244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85"/>
      <c r="P2060" s="73"/>
      <c r="Q2060" s="202">
        <v>1887</v>
      </c>
      <c r="R2060" s="210">
        <v>20</v>
      </c>
      <c r="S2060" s="205" t="s">
        <v>2623</v>
      </c>
      <c r="T2060" s="206"/>
      <c r="U2060" s="211"/>
      <c r="V2060" s="211"/>
      <c r="W2060" s="213"/>
      <c r="X2060" s="213"/>
    </row>
    <row r="2061" spans="3:24" ht="15" customHeight="1">
      <c r="C2061" s="3">
        <v>20</v>
      </c>
      <c r="D2061" s="15" t="s">
        <v>1485</v>
      </c>
      <c r="E2061" s="312" t="s">
        <v>762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85"/>
      <c r="P2061" s="73"/>
      <c r="Q2061" s="202">
        <v>1888</v>
      </c>
      <c r="R2061" s="210">
        <v>20</v>
      </c>
      <c r="S2061" s="205" t="s">
        <v>2621</v>
      </c>
      <c r="T2061" s="206"/>
      <c r="U2061" s="211">
        <v>324462</v>
      </c>
      <c r="V2061" s="211">
        <v>29717.46</v>
      </c>
      <c r="W2061" s="213">
        <v>222168.66</v>
      </c>
      <c r="X2061" s="213">
        <v>0</v>
      </c>
    </row>
    <row r="2062" spans="3:24" ht="15" customHeight="1">
      <c r="C2062" s="3">
        <v>20</v>
      </c>
      <c r="D2062" s="15" t="s">
        <v>1486</v>
      </c>
      <c r="E2062" s="312" t="s">
        <v>764</v>
      </c>
      <c r="G2062" s="26">
        <v>202590</v>
      </c>
      <c r="H2062" s="26">
        <v>-40787</v>
      </c>
      <c r="I2062" s="26">
        <v>0</v>
      </c>
      <c r="J2062" s="26">
        <v>3699</v>
      </c>
      <c r="K2062" s="26">
        <v>0</v>
      </c>
      <c r="L2062" s="26">
        <v>0</v>
      </c>
      <c r="M2062" s="26">
        <v>0</v>
      </c>
      <c r="N2062" s="26">
        <v>0</v>
      </c>
      <c r="O2062" s="285"/>
      <c r="P2062" s="73"/>
      <c r="Q2062" s="202">
        <v>1889</v>
      </c>
      <c r="R2062" s="210">
        <v>20</v>
      </c>
      <c r="S2062" s="205" t="s">
        <v>104</v>
      </c>
      <c r="T2062" s="206"/>
      <c r="U2062" s="211"/>
      <c r="V2062" s="211"/>
      <c r="W2062" s="213"/>
      <c r="X2062" s="213"/>
    </row>
    <row r="2063" spans="3:24" ht="15" customHeight="1">
      <c r="C2063" s="3">
        <v>20</v>
      </c>
      <c r="D2063" s="15" t="s">
        <v>1487</v>
      </c>
      <c r="E2063" s="312" t="s">
        <v>1019</v>
      </c>
      <c r="G2063" s="26">
        <v>397454</v>
      </c>
      <c r="H2063" s="26">
        <v>-2737</v>
      </c>
      <c r="I2063" s="26">
        <v>0</v>
      </c>
      <c r="J2063" s="26">
        <v>0</v>
      </c>
      <c r="K2063" s="26">
        <v>0</v>
      </c>
      <c r="L2063" s="26">
        <v>0</v>
      </c>
      <c r="M2063" s="26">
        <v>0</v>
      </c>
      <c r="N2063" s="26">
        <v>0</v>
      </c>
      <c r="O2063" s="285"/>
      <c r="P2063" s="73"/>
      <c r="Q2063" s="202">
        <v>1890</v>
      </c>
      <c r="R2063" s="210">
        <v>20</v>
      </c>
      <c r="S2063" s="205" t="s">
        <v>2624</v>
      </c>
      <c r="T2063" s="206"/>
      <c r="U2063" s="211"/>
      <c r="V2063" s="211"/>
      <c r="W2063" s="213"/>
      <c r="X2063" s="213"/>
    </row>
    <row r="2064" spans="3:24" ht="15" customHeight="1">
      <c r="C2064" s="3">
        <v>20</v>
      </c>
      <c r="D2064" s="15" t="s">
        <v>1488</v>
      </c>
      <c r="E2064" s="312" t="s">
        <v>1466</v>
      </c>
      <c r="G2064" s="26">
        <v>0</v>
      </c>
      <c r="H2064" s="26">
        <v>0</v>
      </c>
      <c r="I2064" s="26">
        <v>0</v>
      </c>
      <c r="J2064" s="26">
        <v>678</v>
      </c>
      <c r="K2064" s="26">
        <v>0</v>
      </c>
      <c r="L2064" s="26">
        <v>0</v>
      </c>
      <c r="M2064" s="26">
        <v>0</v>
      </c>
      <c r="N2064" s="26">
        <v>0</v>
      </c>
      <c r="O2064" s="285"/>
      <c r="P2064" s="73"/>
      <c r="Q2064" s="202">
        <v>1891</v>
      </c>
      <c r="R2064" s="210">
        <v>20</v>
      </c>
      <c r="S2064" s="205" t="s">
        <v>1503</v>
      </c>
      <c r="T2064" s="206" t="s">
        <v>115</v>
      </c>
      <c r="U2064" s="211">
        <v>300</v>
      </c>
      <c r="V2064" s="211">
        <v>6.97</v>
      </c>
      <c r="W2064" s="213">
        <v>82.54</v>
      </c>
      <c r="X2064" s="213">
        <v>27.51</v>
      </c>
    </row>
    <row r="2065" spans="1:24" ht="15" customHeight="1">
      <c r="G2065" s="26"/>
      <c r="H2065" s="26"/>
      <c r="I2065" s="26"/>
      <c r="J2065" s="26"/>
      <c r="K2065" s="26"/>
      <c r="L2065" s="26"/>
      <c r="M2065" s="26"/>
      <c r="N2065" s="26"/>
      <c r="P2065" s="73"/>
      <c r="Q2065" s="202">
        <v>1892</v>
      </c>
      <c r="R2065" s="210">
        <v>20</v>
      </c>
      <c r="S2065" s="205" t="s">
        <v>1504</v>
      </c>
      <c r="T2065" s="206" t="s">
        <v>117</v>
      </c>
      <c r="U2065" s="211">
        <v>80</v>
      </c>
      <c r="V2065" s="211">
        <v>23.08</v>
      </c>
      <c r="W2065" s="213">
        <v>76.099999999999994</v>
      </c>
      <c r="X2065" s="213">
        <v>95.13</v>
      </c>
    </row>
    <row r="2066" spans="1:24" s="24" customFormat="1" ht="15" customHeight="1">
      <c r="A2066" s="5" t="s">
        <v>245</v>
      </c>
      <c r="B2066" s="62" t="s">
        <v>2317</v>
      </c>
      <c r="C2066" s="3"/>
      <c r="D2066" s="323" t="s">
        <v>3084</v>
      </c>
      <c r="E2066" s="323"/>
      <c r="F2066" s="324"/>
      <c r="G2066" s="325">
        <f>SUM(G2043:G2065)</f>
        <v>703944</v>
      </c>
      <c r="H2066" s="325">
        <f t="shared" ref="H2066:N2066" si="170">SUM(H2043:H2065)</f>
        <v>-24486</v>
      </c>
      <c r="I2066" s="325">
        <f t="shared" si="170"/>
        <v>21967</v>
      </c>
      <c r="J2066" s="325">
        <f t="shared" si="170"/>
        <v>12535</v>
      </c>
      <c r="K2066" s="325">
        <f t="shared" si="170"/>
        <v>16000</v>
      </c>
      <c r="L2066" s="325">
        <f t="shared" si="170"/>
        <v>30637</v>
      </c>
      <c r="M2066" s="325">
        <f t="shared" si="170"/>
        <v>12634</v>
      </c>
      <c r="N2066" s="325">
        <f t="shared" si="170"/>
        <v>5000</v>
      </c>
      <c r="O2066" s="20"/>
      <c r="P2066" s="73"/>
      <c r="Q2066" s="202">
        <v>1893</v>
      </c>
      <c r="R2066" s="210">
        <v>20</v>
      </c>
      <c r="S2066" s="205" t="s">
        <v>1505</v>
      </c>
      <c r="T2066" s="206" t="s">
        <v>119</v>
      </c>
      <c r="U2066" s="211">
        <v>150</v>
      </c>
      <c r="V2066" s="211">
        <v>0</v>
      </c>
      <c r="W2066" s="213">
        <v>43.73</v>
      </c>
      <c r="X2066" s="213">
        <v>29.15</v>
      </c>
    </row>
    <row r="2067" spans="1:24" s="46" customFormat="1" ht="15" customHeight="1">
      <c r="B2067" s="14"/>
      <c r="C2067" s="3"/>
      <c r="D2067" s="47"/>
      <c r="E2067" s="47"/>
      <c r="F2067" s="191"/>
      <c r="G2067" s="48"/>
      <c r="H2067" s="48"/>
      <c r="I2067" s="48"/>
      <c r="J2067" s="48"/>
      <c r="K2067" s="48"/>
      <c r="L2067" s="48"/>
      <c r="M2067" s="48"/>
      <c r="N2067" s="48"/>
      <c r="O2067" s="47"/>
      <c r="P2067" s="73"/>
      <c r="Q2067" s="202">
        <v>1894</v>
      </c>
      <c r="R2067" s="210">
        <v>20</v>
      </c>
      <c r="S2067" s="205" t="s">
        <v>1506</v>
      </c>
      <c r="T2067" s="206" t="s">
        <v>121</v>
      </c>
      <c r="U2067" s="211">
        <v>670</v>
      </c>
      <c r="V2067" s="211">
        <v>111.52</v>
      </c>
      <c r="W2067" s="213">
        <v>390.32</v>
      </c>
      <c r="X2067" s="213">
        <v>58.26</v>
      </c>
    </row>
    <row r="2068" spans="1:24" ht="15" customHeight="1">
      <c r="G2068" s="26"/>
      <c r="H2068" s="26"/>
      <c r="I2068" s="26"/>
      <c r="J2068" s="26"/>
      <c r="K2068" s="26"/>
      <c r="L2068" s="26"/>
      <c r="M2068" s="26"/>
      <c r="N2068" s="26"/>
      <c r="P2068" s="74"/>
      <c r="Q2068" s="202">
        <v>1895</v>
      </c>
      <c r="R2068" s="210">
        <v>20</v>
      </c>
      <c r="S2068" s="205" t="s">
        <v>1507</v>
      </c>
      <c r="T2068" s="206" t="s">
        <v>123</v>
      </c>
      <c r="U2068" s="211">
        <v>100</v>
      </c>
      <c r="V2068" s="211">
        <v>0</v>
      </c>
      <c r="W2068" s="213">
        <v>297.45999999999998</v>
      </c>
      <c r="X2068" s="213">
        <v>297.45999999999998</v>
      </c>
    </row>
    <row r="2069" spans="1:24" s="43" customFormat="1" ht="15" customHeight="1" thickBot="1">
      <c r="B2069" s="43" t="s">
        <v>2317</v>
      </c>
      <c r="C2069" s="3"/>
      <c r="D2069" s="68" t="s">
        <v>3083</v>
      </c>
      <c r="E2069" s="326"/>
      <c r="F2069" s="327"/>
      <c r="G2069" s="328">
        <f>+G2066+G2041+G2012+G1988+G1965</f>
        <v>1692369</v>
      </c>
      <c r="H2069" s="328">
        <f t="shared" ref="H2069:N2069" si="171">+H2066+H2041+H2012+H1988+H1965</f>
        <v>1497939</v>
      </c>
      <c r="I2069" s="328">
        <f t="shared" si="171"/>
        <v>1576060</v>
      </c>
      <c r="J2069" s="328">
        <f t="shared" si="171"/>
        <v>1657358</v>
      </c>
      <c r="K2069" s="328">
        <f t="shared" si="171"/>
        <v>1739447</v>
      </c>
      <c r="L2069" s="328">
        <f t="shared" si="171"/>
        <v>953637</v>
      </c>
      <c r="M2069" s="328">
        <f t="shared" si="171"/>
        <v>1587252.6600000001</v>
      </c>
      <c r="N2069" s="328">
        <f t="shared" si="171"/>
        <v>1891157</v>
      </c>
      <c r="O2069" s="44"/>
      <c r="P2069" s="84"/>
      <c r="Q2069" s="202">
        <v>1896</v>
      </c>
      <c r="R2069" s="210">
        <v>20</v>
      </c>
      <c r="S2069" s="205" t="s">
        <v>1508</v>
      </c>
      <c r="T2069" s="206" t="s">
        <v>125</v>
      </c>
      <c r="U2069" s="211">
        <v>0</v>
      </c>
      <c r="V2069" s="211">
        <v>0</v>
      </c>
      <c r="W2069" s="213">
        <v>0</v>
      </c>
      <c r="X2069" s="213">
        <v>0</v>
      </c>
    </row>
    <row r="2070" spans="1:24" s="45" customFormat="1" ht="15" customHeight="1" thickTop="1">
      <c r="C2070" s="3"/>
      <c r="D2070" s="47"/>
      <c r="E2070" s="15"/>
      <c r="F2070" s="105"/>
      <c r="G2070" s="26"/>
      <c r="H2070" s="26"/>
      <c r="I2070" s="26"/>
      <c r="J2070" s="26"/>
      <c r="K2070" s="26"/>
      <c r="L2070" s="26"/>
      <c r="M2070" s="26"/>
      <c r="N2070" s="26"/>
      <c r="O2070" s="42"/>
      <c r="P2070" s="83"/>
      <c r="Q2070" s="202">
        <v>1897</v>
      </c>
      <c r="R2070" s="210">
        <v>20</v>
      </c>
      <c r="S2070" s="205" t="s">
        <v>1509</v>
      </c>
      <c r="T2070" s="206" t="s">
        <v>106</v>
      </c>
      <c r="U2070" s="211">
        <v>4400</v>
      </c>
      <c r="V2070" s="211">
        <v>618.76</v>
      </c>
      <c r="W2070" s="213">
        <v>4765.45</v>
      </c>
      <c r="X2070" s="213">
        <v>108.31</v>
      </c>
    </row>
    <row r="2071" spans="1:24" s="45" customFormat="1" ht="15" customHeight="1">
      <c r="C2071" s="3"/>
      <c r="D2071" s="47" t="s">
        <v>2340</v>
      </c>
      <c r="E2071" s="15"/>
      <c r="F2071" s="105"/>
      <c r="G2071" s="26"/>
      <c r="H2071" s="26"/>
      <c r="I2071" s="26"/>
      <c r="J2071" s="26"/>
      <c r="K2071" s="26"/>
      <c r="L2071" s="26"/>
      <c r="M2071" s="26"/>
      <c r="N2071" s="26"/>
      <c r="O2071" s="42"/>
      <c r="P2071" s="78"/>
      <c r="Q2071" s="202">
        <v>1898</v>
      </c>
      <c r="R2071" s="210">
        <v>20</v>
      </c>
      <c r="S2071" s="205" t="s">
        <v>1510</v>
      </c>
      <c r="T2071" s="206" t="s">
        <v>197</v>
      </c>
      <c r="U2071" s="211">
        <v>0</v>
      </c>
      <c r="V2071" s="211">
        <v>0</v>
      </c>
      <c r="W2071" s="213">
        <v>0</v>
      </c>
      <c r="X2071" s="213">
        <v>0</v>
      </c>
    </row>
    <row r="2072" spans="1:24" s="45" customFormat="1" ht="15" customHeight="1">
      <c r="C2072" s="3"/>
      <c r="D2072" s="47"/>
      <c r="E2072" s="15"/>
      <c r="F2072" s="105"/>
      <c r="G2072" s="26"/>
      <c r="H2072" s="26"/>
      <c r="I2072" s="26"/>
      <c r="J2072" s="26"/>
      <c r="K2072" s="26"/>
      <c r="L2072" s="26"/>
      <c r="M2072" s="26"/>
      <c r="N2072" s="26"/>
      <c r="O2072" s="42"/>
      <c r="P2072" s="78"/>
      <c r="Q2072" s="202">
        <v>1899</v>
      </c>
      <c r="R2072" s="210">
        <v>20</v>
      </c>
      <c r="S2072" s="205" t="s">
        <v>1511</v>
      </c>
      <c r="T2072" s="206" t="s">
        <v>128</v>
      </c>
      <c r="U2072" s="211">
        <v>0</v>
      </c>
      <c r="V2072" s="211">
        <v>0</v>
      </c>
      <c r="W2072" s="213">
        <v>0</v>
      </c>
      <c r="X2072" s="213">
        <v>0</v>
      </c>
    </row>
    <row r="2073" spans="1:24" s="5" customFormat="1" ht="15" customHeight="1">
      <c r="C2073" s="3"/>
      <c r="D2073" s="47" t="s">
        <v>2339</v>
      </c>
      <c r="E2073" s="15"/>
      <c r="F2073" s="105"/>
      <c r="G2073" s="26"/>
      <c r="H2073" s="26"/>
      <c r="I2073" s="26"/>
      <c r="J2073" s="26"/>
      <c r="K2073" s="26"/>
      <c r="L2073" s="26"/>
      <c r="M2073" s="26"/>
      <c r="N2073" s="26"/>
      <c r="O2073" s="6"/>
      <c r="P2073" s="73"/>
      <c r="Q2073" s="202">
        <v>1900</v>
      </c>
      <c r="R2073" s="210">
        <v>20</v>
      </c>
      <c r="S2073" s="205" t="s">
        <v>1512</v>
      </c>
      <c r="T2073" s="206" t="s">
        <v>200</v>
      </c>
      <c r="U2073" s="211">
        <v>2100</v>
      </c>
      <c r="V2073" s="211">
        <v>185.11</v>
      </c>
      <c r="W2073" s="213">
        <v>1219.96</v>
      </c>
      <c r="X2073" s="213">
        <v>58.09</v>
      </c>
    </row>
    <row r="2074" spans="1:24" ht="15" customHeight="1">
      <c r="G2074" s="26"/>
      <c r="H2074" s="26"/>
      <c r="I2074" s="26"/>
      <c r="J2074" s="26"/>
      <c r="K2074" s="26"/>
      <c r="L2074" s="26"/>
      <c r="M2074" s="26"/>
      <c r="N2074" s="26"/>
      <c r="P2074" s="73"/>
      <c r="Q2074" s="202">
        <v>1901</v>
      </c>
      <c r="R2074" s="210">
        <v>20</v>
      </c>
      <c r="S2074" s="205" t="s">
        <v>1513</v>
      </c>
      <c r="T2074" s="206" t="s">
        <v>202</v>
      </c>
      <c r="U2074" s="211">
        <v>0</v>
      </c>
      <c r="V2074" s="211">
        <v>0</v>
      </c>
      <c r="W2074" s="213">
        <v>0</v>
      </c>
      <c r="X2074" s="213">
        <v>0</v>
      </c>
    </row>
    <row r="2075" spans="1:24" ht="15" customHeight="1">
      <c r="C2075" s="3">
        <v>20</v>
      </c>
      <c r="D2075" s="15" t="s">
        <v>1489</v>
      </c>
      <c r="E2075" s="312" t="s">
        <v>79</v>
      </c>
      <c r="G2075" s="26">
        <v>199678</v>
      </c>
      <c r="H2075" s="26">
        <v>200343</v>
      </c>
      <c r="I2075" s="26">
        <v>211122</v>
      </c>
      <c r="J2075" s="26">
        <v>215678</v>
      </c>
      <c r="K2075" s="26">
        <v>218576</v>
      </c>
      <c r="L2075" s="26">
        <v>127414</v>
      </c>
      <c r="M2075" s="26">
        <f>165949*1.33</f>
        <v>220712.17</v>
      </c>
      <c r="N2075" s="26">
        <v>222280</v>
      </c>
      <c r="P2075" s="73"/>
      <c r="Q2075" s="202">
        <v>1902</v>
      </c>
      <c r="R2075" s="210">
        <v>20</v>
      </c>
      <c r="S2075" s="205" t="s">
        <v>1514</v>
      </c>
      <c r="T2075" s="206" t="s">
        <v>130</v>
      </c>
      <c r="U2075" s="211">
        <v>500</v>
      </c>
      <c r="V2075" s="211">
        <v>0</v>
      </c>
      <c r="W2075" s="213">
        <v>267.11</v>
      </c>
      <c r="X2075" s="213">
        <v>53.42</v>
      </c>
    </row>
    <row r="2076" spans="1:24" ht="15" customHeight="1">
      <c r="C2076" s="3">
        <v>20</v>
      </c>
      <c r="D2076" s="15" t="s">
        <v>1490</v>
      </c>
      <c r="E2076" s="312" t="s">
        <v>81</v>
      </c>
      <c r="G2076" s="26">
        <v>45189</v>
      </c>
      <c r="H2076" s="26">
        <v>41064</v>
      </c>
      <c r="I2076" s="26">
        <v>39677</v>
      </c>
      <c r="J2076" s="26">
        <v>40232</v>
      </c>
      <c r="K2076" s="26">
        <v>39954</v>
      </c>
      <c r="L2076" s="26">
        <v>23307</v>
      </c>
      <c r="M2076" s="26">
        <f>29966*1.33</f>
        <v>39854.78</v>
      </c>
      <c r="N2076" s="26">
        <v>39954</v>
      </c>
      <c r="P2076" s="73"/>
      <c r="Q2076" s="202">
        <v>1903</v>
      </c>
      <c r="R2076" s="210">
        <v>20</v>
      </c>
      <c r="S2076" s="205" t="s">
        <v>1515</v>
      </c>
      <c r="T2076" s="206" t="s">
        <v>132</v>
      </c>
      <c r="U2076" s="211">
        <v>2000</v>
      </c>
      <c r="V2076" s="211">
        <v>433.48</v>
      </c>
      <c r="W2076" s="213">
        <v>5229.1099999999997</v>
      </c>
      <c r="X2076" s="213">
        <v>261.45999999999998</v>
      </c>
    </row>
    <row r="2077" spans="1:24" ht="15" customHeight="1">
      <c r="C2077" s="3">
        <v>20</v>
      </c>
      <c r="D2077" s="15" t="s">
        <v>1491</v>
      </c>
      <c r="E2077" s="312" t="s">
        <v>83</v>
      </c>
      <c r="G2077" s="26">
        <v>0</v>
      </c>
      <c r="H2077" s="26">
        <v>277</v>
      </c>
      <c r="I2077" s="26">
        <v>0</v>
      </c>
      <c r="J2077" s="26">
        <v>0</v>
      </c>
      <c r="K2077" s="26">
        <v>0</v>
      </c>
      <c r="L2077" s="26">
        <v>0</v>
      </c>
      <c r="M2077" s="26">
        <v>0</v>
      </c>
      <c r="N2077" s="26">
        <v>0</v>
      </c>
      <c r="P2077" s="73"/>
      <c r="Q2077" s="202">
        <v>1904</v>
      </c>
      <c r="R2077" s="210">
        <v>20</v>
      </c>
      <c r="S2077" s="205" t="s">
        <v>1516</v>
      </c>
      <c r="T2077" s="206" t="s">
        <v>206</v>
      </c>
      <c r="U2077" s="211">
        <v>650</v>
      </c>
      <c r="V2077" s="211">
        <v>65.81</v>
      </c>
      <c r="W2077" s="213">
        <v>397.41</v>
      </c>
      <c r="X2077" s="213">
        <v>61.14</v>
      </c>
    </row>
    <row r="2078" spans="1:24" ht="15" customHeight="1">
      <c r="C2078" s="3">
        <v>20</v>
      </c>
      <c r="D2078" s="15" t="s">
        <v>1492</v>
      </c>
      <c r="E2078" s="312" t="s">
        <v>85</v>
      </c>
      <c r="G2078" s="26">
        <v>811</v>
      </c>
      <c r="H2078" s="26">
        <v>176</v>
      </c>
      <c r="I2078" s="26">
        <v>1134</v>
      </c>
      <c r="J2078" s="26">
        <v>432</v>
      </c>
      <c r="K2078" s="26">
        <v>1928</v>
      </c>
      <c r="L2078" s="26">
        <v>1511</v>
      </c>
      <c r="M2078" s="26">
        <f>1511*1.33</f>
        <v>2009.63</v>
      </c>
      <c r="N2078" s="26">
        <v>2000</v>
      </c>
      <c r="P2078" s="73"/>
      <c r="Q2078" s="202">
        <v>1905</v>
      </c>
      <c r="R2078" s="210">
        <v>20</v>
      </c>
      <c r="S2078" s="205" t="s">
        <v>1517</v>
      </c>
      <c r="T2078" s="206" t="s">
        <v>208</v>
      </c>
      <c r="U2078" s="211">
        <v>22000</v>
      </c>
      <c r="V2078" s="211">
        <v>1621.9</v>
      </c>
      <c r="W2078" s="213">
        <v>11385.68</v>
      </c>
      <c r="X2078" s="213">
        <v>51.75</v>
      </c>
    </row>
    <row r="2079" spans="1:24" ht="15" customHeight="1">
      <c r="C2079" s="3">
        <v>20</v>
      </c>
      <c r="D2079" s="15" t="s">
        <v>1493</v>
      </c>
      <c r="E2079" s="312" t="s">
        <v>87</v>
      </c>
      <c r="G2079" s="26">
        <v>15844</v>
      </c>
      <c r="H2079" s="26">
        <v>16060</v>
      </c>
      <c r="I2079" s="26">
        <v>16888</v>
      </c>
      <c r="J2079" s="26">
        <v>17139</v>
      </c>
      <c r="K2079" s="26">
        <v>16765</v>
      </c>
      <c r="L2079" s="26">
        <v>10105</v>
      </c>
      <c r="M2079" s="26">
        <f>13158*1.33</f>
        <v>17500.14</v>
      </c>
      <c r="N2079" s="26">
        <v>17713</v>
      </c>
      <c r="P2079" s="73"/>
      <c r="Q2079" s="202">
        <v>1906</v>
      </c>
      <c r="R2079" s="210">
        <v>20</v>
      </c>
      <c r="S2079" s="205" t="s">
        <v>1518</v>
      </c>
      <c r="T2079" s="206" t="s">
        <v>210</v>
      </c>
      <c r="U2079" s="211">
        <v>0</v>
      </c>
      <c r="V2079" s="211">
        <v>0</v>
      </c>
      <c r="W2079" s="213">
        <v>0</v>
      </c>
      <c r="X2079" s="213">
        <v>0</v>
      </c>
    </row>
    <row r="2080" spans="1:24" ht="15" customHeight="1">
      <c r="C2080" s="3">
        <v>20</v>
      </c>
      <c r="D2080" s="15" t="s">
        <v>1494</v>
      </c>
      <c r="E2080" s="312" t="s">
        <v>89</v>
      </c>
      <c r="G2080" s="26">
        <v>29963</v>
      </c>
      <c r="H2080" s="26">
        <v>30829</v>
      </c>
      <c r="I2080" s="26">
        <v>34034</v>
      </c>
      <c r="J2080" s="26">
        <v>36803</v>
      </c>
      <c r="K2080" s="26">
        <v>35103</v>
      </c>
      <c r="L2080" s="26">
        <v>22107</v>
      </c>
      <c r="M2080" s="26">
        <f>28773*1.33</f>
        <v>38268.090000000004</v>
      </c>
      <c r="N2080" s="26">
        <v>38276</v>
      </c>
      <c r="P2080" s="74"/>
      <c r="Q2080" s="202">
        <v>1907</v>
      </c>
      <c r="R2080" s="210">
        <v>20</v>
      </c>
      <c r="S2080" s="205" t="s">
        <v>1519</v>
      </c>
      <c r="T2080" s="206" t="s">
        <v>134</v>
      </c>
      <c r="U2080" s="211">
        <v>0</v>
      </c>
      <c r="V2080" s="211">
        <v>0</v>
      </c>
      <c r="W2080" s="213">
        <v>0</v>
      </c>
      <c r="X2080" s="213">
        <v>0</v>
      </c>
    </row>
    <row r="2081" spans="1:24" ht="15" customHeight="1">
      <c r="C2081" s="3">
        <v>20</v>
      </c>
      <c r="D2081" s="15" t="s">
        <v>1495</v>
      </c>
      <c r="E2081" s="312" t="s">
        <v>2554</v>
      </c>
      <c r="G2081" s="26">
        <v>0</v>
      </c>
      <c r="H2081" s="26">
        <v>0</v>
      </c>
      <c r="I2081" s="26">
        <v>0</v>
      </c>
      <c r="J2081" s="26">
        <v>0</v>
      </c>
      <c r="K2081" s="26">
        <v>0</v>
      </c>
      <c r="L2081" s="26">
        <v>0</v>
      </c>
      <c r="M2081" s="26">
        <v>0</v>
      </c>
      <c r="N2081" s="26">
        <v>0</v>
      </c>
      <c r="P2081" s="85"/>
      <c r="Q2081" s="202">
        <v>1908</v>
      </c>
      <c r="R2081" s="210">
        <v>20</v>
      </c>
      <c r="S2081" s="205" t="s">
        <v>1520</v>
      </c>
      <c r="T2081" s="206" t="s">
        <v>213</v>
      </c>
      <c r="U2081" s="211">
        <v>0</v>
      </c>
      <c r="V2081" s="211">
        <v>0</v>
      </c>
      <c r="W2081" s="213">
        <v>0</v>
      </c>
      <c r="X2081" s="213">
        <v>0</v>
      </c>
    </row>
    <row r="2082" spans="1:24" ht="15" customHeight="1">
      <c r="C2082" s="3">
        <v>20</v>
      </c>
      <c r="D2082" s="15" t="s">
        <v>1496</v>
      </c>
      <c r="E2082" s="312" t="s">
        <v>91</v>
      </c>
      <c r="G2082" s="26">
        <v>4551</v>
      </c>
      <c r="H2082" s="26">
        <v>6324</v>
      </c>
      <c r="I2082" s="26">
        <v>6167</v>
      </c>
      <c r="J2082" s="26">
        <v>4296</v>
      </c>
      <c r="K2082" s="26">
        <v>4000</v>
      </c>
      <c r="L2082" s="26">
        <v>2904</v>
      </c>
      <c r="M2082" s="26">
        <f>3924*1.33</f>
        <v>5218.92</v>
      </c>
      <c r="N2082" s="26">
        <v>5000</v>
      </c>
      <c r="P2082" s="83"/>
      <c r="Q2082" s="202">
        <v>1909</v>
      </c>
      <c r="R2082" s="210">
        <v>20</v>
      </c>
      <c r="S2082" s="205" t="s">
        <v>1521</v>
      </c>
      <c r="T2082" s="206" t="s">
        <v>1522</v>
      </c>
      <c r="U2082" s="211">
        <v>0</v>
      </c>
      <c r="V2082" s="211">
        <v>0</v>
      </c>
      <c r="W2082" s="213">
        <v>809.62</v>
      </c>
      <c r="X2082" s="213">
        <v>0</v>
      </c>
    </row>
    <row r="2083" spans="1:24" ht="15" customHeight="1">
      <c r="C2083" s="3">
        <v>20</v>
      </c>
      <c r="D2083" s="15" t="s">
        <v>1497</v>
      </c>
      <c r="E2083" s="312" t="s">
        <v>93</v>
      </c>
      <c r="G2083" s="26">
        <v>0</v>
      </c>
      <c r="H2083" s="26">
        <v>0</v>
      </c>
      <c r="I2083" s="26">
        <v>729</v>
      </c>
      <c r="J2083" s="26">
        <v>1152</v>
      </c>
      <c r="K2083" s="26">
        <v>0</v>
      </c>
      <c r="L2083" s="26">
        <v>0</v>
      </c>
      <c r="M2083" s="26">
        <v>0</v>
      </c>
      <c r="N2083" s="26">
        <v>0</v>
      </c>
      <c r="P2083" s="78"/>
      <c r="Q2083" s="202">
        <v>1910</v>
      </c>
      <c r="R2083" s="210">
        <v>20</v>
      </c>
      <c r="S2083" s="205" t="s">
        <v>2623</v>
      </c>
      <c r="T2083" s="206"/>
      <c r="U2083" s="211"/>
      <c r="V2083" s="211"/>
      <c r="W2083" s="213"/>
      <c r="X2083" s="213"/>
    </row>
    <row r="2084" spans="1:24" ht="15" customHeight="1">
      <c r="C2084" s="3">
        <v>20</v>
      </c>
      <c r="D2084" s="15" t="s">
        <v>1498</v>
      </c>
      <c r="E2084" s="312" t="s">
        <v>95</v>
      </c>
      <c r="G2084" s="26">
        <v>1938</v>
      </c>
      <c r="H2084" s="26">
        <v>2038</v>
      </c>
      <c r="I2084" s="26">
        <v>2100</v>
      </c>
      <c r="J2084" s="26">
        <v>2113</v>
      </c>
      <c r="K2084" s="26">
        <v>2250</v>
      </c>
      <c r="L2084" s="26">
        <v>1400</v>
      </c>
      <c r="M2084" s="26">
        <f>1750*1.33</f>
        <v>2327.5</v>
      </c>
      <c r="N2084" s="26">
        <v>2328</v>
      </c>
      <c r="P2084" s="78"/>
      <c r="Q2084" s="202">
        <v>1911</v>
      </c>
      <c r="R2084" s="210">
        <v>20</v>
      </c>
      <c r="S2084" s="205" t="s">
        <v>104</v>
      </c>
      <c r="T2084" s="206"/>
      <c r="U2084" s="211">
        <v>32950</v>
      </c>
      <c r="V2084" s="211">
        <v>3066.63</v>
      </c>
      <c r="W2084" s="213">
        <v>24964.49</v>
      </c>
      <c r="X2084" s="213">
        <v>0</v>
      </c>
    </row>
    <row r="2085" spans="1:24" ht="15" customHeight="1">
      <c r="C2085" s="3">
        <v>20</v>
      </c>
      <c r="D2085" s="15" t="s">
        <v>1499</v>
      </c>
      <c r="E2085" s="312" t="s">
        <v>97</v>
      </c>
      <c r="G2085" s="26">
        <v>4772</v>
      </c>
      <c r="H2085" s="26">
        <v>4947</v>
      </c>
      <c r="I2085" s="26">
        <v>5235</v>
      </c>
      <c r="J2085" s="26">
        <v>5523</v>
      </c>
      <c r="K2085" s="26">
        <v>5532</v>
      </c>
      <c r="L2085" s="26">
        <v>3361</v>
      </c>
      <c r="M2085" s="26">
        <f>4377*1.33</f>
        <v>5821.4100000000008</v>
      </c>
      <c r="N2085" s="26">
        <v>6324</v>
      </c>
      <c r="P2085" s="73"/>
      <c r="Q2085" s="202">
        <v>1912</v>
      </c>
      <c r="R2085" s="210">
        <v>20</v>
      </c>
      <c r="S2085" s="205" t="s">
        <v>135</v>
      </c>
      <c r="T2085" s="206"/>
      <c r="U2085" s="211"/>
      <c r="V2085" s="211"/>
      <c r="W2085" s="213"/>
      <c r="X2085" s="213"/>
    </row>
    <row r="2086" spans="1:24" ht="15" customHeight="1">
      <c r="C2086" s="3">
        <v>20</v>
      </c>
      <c r="D2086" s="15" t="s">
        <v>1500</v>
      </c>
      <c r="E2086" s="312" t="s">
        <v>99</v>
      </c>
      <c r="G2086" s="26">
        <v>410</v>
      </c>
      <c r="H2086" s="26">
        <v>351</v>
      </c>
      <c r="I2086" s="26">
        <v>351</v>
      </c>
      <c r="J2086" s="26">
        <v>351</v>
      </c>
      <c r="K2086" s="26">
        <v>354</v>
      </c>
      <c r="L2086" s="26">
        <v>343</v>
      </c>
      <c r="M2086" s="26">
        <f>343*1.33</f>
        <v>456.19</v>
      </c>
      <c r="N2086" s="26">
        <v>500</v>
      </c>
      <c r="P2086" s="73"/>
      <c r="Q2086" s="202">
        <v>1913</v>
      </c>
      <c r="R2086" s="210">
        <v>20</v>
      </c>
      <c r="S2086" s="205" t="s">
        <v>2626</v>
      </c>
      <c r="T2086" s="206"/>
      <c r="U2086" s="211"/>
      <c r="V2086" s="211"/>
      <c r="W2086" s="213"/>
      <c r="X2086" s="213"/>
    </row>
    <row r="2087" spans="1:24" ht="15" customHeight="1">
      <c r="C2087" s="3">
        <v>20</v>
      </c>
      <c r="D2087" s="15" t="s">
        <v>1501</v>
      </c>
      <c r="E2087" s="312" t="s">
        <v>101</v>
      </c>
      <c r="G2087" s="26">
        <v>0</v>
      </c>
      <c r="H2087" s="26">
        <v>0</v>
      </c>
      <c r="I2087" s="26">
        <v>0</v>
      </c>
      <c r="J2087" s="26">
        <v>0</v>
      </c>
      <c r="K2087" s="26">
        <v>0</v>
      </c>
      <c r="L2087" s="26">
        <v>0</v>
      </c>
      <c r="M2087" s="26">
        <v>0</v>
      </c>
      <c r="N2087" s="26">
        <v>0</v>
      </c>
      <c r="P2087" s="73"/>
    </row>
    <row r="2088" spans="1:24" ht="15" customHeight="1">
      <c r="C2088" s="3">
        <v>20</v>
      </c>
      <c r="D2088" s="15" t="s">
        <v>1502</v>
      </c>
      <c r="E2088" s="312" t="s">
        <v>103</v>
      </c>
      <c r="G2088" s="26">
        <v>0</v>
      </c>
      <c r="H2088" s="26">
        <v>0</v>
      </c>
      <c r="I2088" s="26">
        <v>0</v>
      </c>
      <c r="J2088" s="26">
        <v>0</v>
      </c>
      <c r="K2088" s="26">
        <v>0</v>
      </c>
      <c r="L2088" s="26">
        <v>0</v>
      </c>
      <c r="M2088" s="26">
        <v>0</v>
      </c>
      <c r="N2088" s="26">
        <v>0</v>
      </c>
      <c r="P2088" s="73"/>
    </row>
    <row r="2089" spans="1:24" ht="15" customHeight="1">
      <c r="G2089" s="26"/>
      <c r="H2089" s="26"/>
      <c r="I2089" s="26"/>
      <c r="J2089" s="26"/>
      <c r="K2089" s="26"/>
      <c r="L2089" s="26"/>
      <c r="M2089" s="26"/>
      <c r="N2089" s="26"/>
      <c r="P2089" s="73"/>
    </row>
    <row r="2090" spans="1:24" s="72" customFormat="1" ht="15" customHeight="1">
      <c r="A2090" s="5" t="s">
        <v>2410</v>
      </c>
      <c r="B2090" s="62" t="s">
        <v>2317</v>
      </c>
      <c r="C2090" s="3"/>
      <c r="D2090" s="323" t="s">
        <v>3082</v>
      </c>
      <c r="E2090" s="323"/>
      <c r="F2090" s="324"/>
      <c r="G2090" s="325">
        <f>SUM(G2073:G2089)</f>
        <v>303156</v>
      </c>
      <c r="H2090" s="325">
        <f t="shared" ref="H2090:N2090" si="172">SUM(H2073:H2089)</f>
        <v>302409</v>
      </c>
      <c r="I2090" s="325">
        <f t="shared" si="172"/>
        <v>317437</v>
      </c>
      <c r="J2090" s="325">
        <f t="shared" si="172"/>
        <v>323719</v>
      </c>
      <c r="K2090" s="325">
        <f t="shared" si="172"/>
        <v>324462</v>
      </c>
      <c r="L2090" s="325">
        <f t="shared" si="172"/>
        <v>192452</v>
      </c>
      <c r="M2090" s="325">
        <f t="shared" si="172"/>
        <v>332168.83</v>
      </c>
      <c r="N2090" s="325">
        <f t="shared" si="172"/>
        <v>334375</v>
      </c>
      <c r="O2090" s="71"/>
      <c r="P2090" s="74"/>
    </row>
    <row r="2091" spans="1:24" s="46" customFormat="1" ht="15" customHeight="1">
      <c r="B2091" s="14"/>
      <c r="C2091" s="3"/>
      <c r="D2091" s="47"/>
      <c r="E2091" s="47"/>
      <c r="F2091" s="191"/>
      <c r="G2091" s="48"/>
      <c r="H2091" s="48"/>
      <c r="I2091" s="48"/>
      <c r="J2091" s="48"/>
      <c r="K2091" s="48"/>
      <c r="L2091" s="48"/>
      <c r="M2091" s="48"/>
      <c r="N2091" s="48"/>
      <c r="O2091" s="47"/>
      <c r="P2091" s="86"/>
    </row>
    <row r="2092" spans="1:24" ht="15" customHeight="1">
      <c r="D2092" s="47" t="s">
        <v>2341</v>
      </c>
      <c r="G2092" s="26"/>
      <c r="H2092" s="26"/>
      <c r="I2092" s="26"/>
      <c r="J2092" s="26"/>
      <c r="K2092" s="26"/>
      <c r="L2092" s="26"/>
      <c r="M2092" s="26"/>
      <c r="N2092" s="26"/>
      <c r="P2092" s="78"/>
    </row>
    <row r="2093" spans="1:24" ht="15" customHeight="1" thickBot="1">
      <c r="G2093" s="26"/>
      <c r="H2093" s="26"/>
      <c r="I2093" s="26"/>
      <c r="J2093" s="26"/>
      <c r="K2093" s="26"/>
      <c r="L2093" s="26"/>
      <c r="M2093" s="26"/>
      <c r="N2093" s="26"/>
      <c r="P2093" s="82"/>
    </row>
    <row r="2094" spans="1:24" ht="15" customHeight="1" thickTop="1">
      <c r="C2094" s="3">
        <v>20</v>
      </c>
      <c r="D2094" s="15" t="s">
        <v>1503</v>
      </c>
      <c r="E2094" s="312" t="s">
        <v>115</v>
      </c>
      <c r="G2094" s="26">
        <v>300</v>
      </c>
      <c r="H2094" s="26">
        <v>380</v>
      </c>
      <c r="I2094" s="26">
        <v>317</v>
      </c>
      <c r="J2094" s="26">
        <v>743</v>
      </c>
      <c r="K2094" s="26">
        <v>300</v>
      </c>
      <c r="L2094" s="26">
        <v>76</v>
      </c>
      <c r="M2094" s="26">
        <v>130</v>
      </c>
      <c r="N2094" s="26">
        <v>300</v>
      </c>
      <c r="O2094" s="285"/>
      <c r="P2094" s="78"/>
    </row>
    <row r="2095" spans="1:24" ht="15" customHeight="1">
      <c r="C2095" s="3">
        <v>20</v>
      </c>
      <c r="D2095" s="15" t="s">
        <v>1504</v>
      </c>
      <c r="E2095" s="312" t="s">
        <v>117</v>
      </c>
      <c r="G2095" s="26">
        <v>73</v>
      </c>
      <c r="H2095" s="26">
        <v>58</v>
      </c>
      <c r="I2095" s="26">
        <v>42</v>
      </c>
      <c r="J2095" s="26">
        <v>79</v>
      </c>
      <c r="K2095" s="26">
        <v>80</v>
      </c>
      <c r="L2095" s="26">
        <v>53</v>
      </c>
      <c r="M2095" s="26">
        <v>91</v>
      </c>
      <c r="N2095" s="26">
        <v>86</v>
      </c>
      <c r="O2095" s="285"/>
      <c r="P2095" s="78"/>
    </row>
    <row r="2096" spans="1:24" ht="15" customHeight="1">
      <c r="C2096" s="3">
        <v>20</v>
      </c>
      <c r="D2096" s="15" t="s">
        <v>1505</v>
      </c>
      <c r="E2096" s="312" t="s">
        <v>119</v>
      </c>
      <c r="G2096" s="26">
        <v>71</v>
      </c>
      <c r="H2096" s="26">
        <v>76</v>
      </c>
      <c r="I2096" s="26">
        <v>100</v>
      </c>
      <c r="J2096" s="26">
        <v>134</v>
      </c>
      <c r="K2096" s="26">
        <v>150</v>
      </c>
      <c r="L2096" s="26">
        <v>44</v>
      </c>
      <c r="M2096" s="26">
        <v>76</v>
      </c>
      <c r="N2096" s="26">
        <v>150</v>
      </c>
      <c r="O2096" s="285"/>
      <c r="P2096" s="78"/>
    </row>
    <row r="2097" spans="3:16" ht="15" customHeight="1">
      <c r="C2097" s="3">
        <v>20</v>
      </c>
      <c r="D2097" s="15" t="s">
        <v>1506</v>
      </c>
      <c r="E2097" s="312" t="s">
        <v>121</v>
      </c>
      <c r="G2097" s="26">
        <v>698</v>
      </c>
      <c r="H2097" s="26">
        <v>642</v>
      </c>
      <c r="I2097" s="26">
        <v>725</v>
      </c>
      <c r="J2097" s="26">
        <v>852</v>
      </c>
      <c r="K2097" s="26">
        <v>670</v>
      </c>
      <c r="L2097" s="26">
        <v>279</v>
      </c>
      <c r="M2097" s="26">
        <v>478</v>
      </c>
      <c r="N2097" s="26">
        <v>670</v>
      </c>
      <c r="O2097" s="285"/>
      <c r="P2097" s="78"/>
    </row>
    <row r="2098" spans="3:16" ht="15" customHeight="1">
      <c r="C2098" s="3">
        <v>20</v>
      </c>
      <c r="D2098" s="15" t="s">
        <v>1507</v>
      </c>
      <c r="E2098" s="312" t="s">
        <v>123</v>
      </c>
      <c r="G2098" s="26">
        <v>111</v>
      </c>
      <c r="H2098" s="26">
        <v>524</v>
      </c>
      <c r="I2098" s="26">
        <v>0</v>
      </c>
      <c r="J2098" s="26">
        <v>0</v>
      </c>
      <c r="K2098" s="26">
        <v>100</v>
      </c>
      <c r="L2098" s="26">
        <v>297</v>
      </c>
      <c r="M2098" s="26">
        <v>509</v>
      </c>
      <c r="N2098" s="26">
        <v>100</v>
      </c>
      <c r="O2098" s="285"/>
      <c r="P2098" s="80"/>
    </row>
    <row r="2099" spans="3:16" ht="15" customHeight="1">
      <c r="C2099" s="3">
        <v>20</v>
      </c>
      <c r="D2099" s="15" t="s">
        <v>1508</v>
      </c>
      <c r="E2099" s="312" t="s">
        <v>125</v>
      </c>
      <c r="G2099" s="26">
        <v>67</v>
      </c>
      <c r="H2099" s="26">
        <v>0</v>
      </c>
      <c r="I2099" s="26">
        <v>0</v>
      </c>
      <c r="J2099" s="26">
        <v>0</v>
      </c>
      <c r="K2099" s="26">
        <v>0</v>
      </c>
      <c r="L2099" s="26">
        <v>0</v>
      </c>
      <c r="M2099" s="26">
        <v>0</v>
      </c>
      <c r="N2099" s="26">
        <v>0</v>
      </c>
      <c r="O2099" s="285"/>
      <c r="P2099" s="78"/>
    </row>
    <row r="2100" spans="3:16" ht="15" customHeight="1">
      <c r="C2100" s="3">
        <v>20</v>
      </c>
      <c r="D2100" s="15" t="s">
        <v>1509</v>
      </c>
      <c r="E2100" s="312" t="s">
        <v>106</v>
      </c>
      <c r="G2100" s="26">
        <v>0</v>
      </c>
      <c r="H2100" s="26">
        <v>5662</v>
      </c>
      <c r="I2100" s="26">
        <v>5855</v>
      </c>
      <c r="J2100" s="26">
        <v>8211</v>
      </c>
      <c r="K2100" s="26">
        <v>4400</v>
      </c>
      <c r="L2100" s="26">
        <v>4147</v>
      </c>
      <c r="M2100" s="26">
        <v>6500</v>
      </c>
      <c r="N2100" s="26">
        <v>4840</v>
      </c>
      <c r="O2100" s="285" t="s">
        <v>2927</v>
      </c>
      <c r="P2100" s="78"/>
    </row>
    <row r="2101" spans="3:16" ht="15" customHeight="1">
      <c r="C2101" s="3">
        <v>20</v>
      </c>
      <c r="D2101" s="15" t="s">
        <v>1510</v>
      </c>
      <c r="E2101" s="312" t="s">
        <v>197</v>
      </c>
      <c r="G2101" s="26">
        <v>0</v>
      </c>
      <c r="H2101" s="26">
        <v>24</v>
      </c>
      <c r="I2101" s="26">
        <v>0</v>
      </c>
      <c r="J2101" s="26">
        <v>0</v>
      </c>
      <c r="K2101" s="26">
        <v>0</v>
      </c>
      <c r="L2101" s="26">
        <v>0</v>
      </c>
      <c r="M2101" s="26">
        <v>0</v>
      </c>
      <c r="N2101" s="26">
        <v>0</v>
      </c>
      <c r="O2101" s="285"/>
      <c r="P2101" s="78"/>
    </row>
    <row r="2102" spans="3:16" ht="15" customHeight="1">
      <c r="C2102" s="3">
        <v>20</v>
      </c>
      <c r="D2102" s="15" t="s">
        <v>1511</v>
      </c>
      <c r="E2102" s="312" t="s">
        <v>128</v>
      </c>
      <c r="G2102" s="26">
        <v>13</v>
      </c>
      <c r="H2102" s="26">
        <v>0</v>
      </c>
      <c r="I2102" s="26">
        <v>0</v>
      </c>
      <c r="J2102" s="26">
        <v>0</v>
      </c>
      <c r="K2102" s="26">
        <v>0</v>
      </c>
      <c r="L2102" s="26">
        <v>0</v>
      </c>
      <c r="M2102" s="26">
        <v>0</v>
      </c>
      <c r="N2102" s="26">
        <v>0</v>
      </c>
      <c r="O2102" s="285"/>
      <c r="P2102" s="78"/>
    </row>
    <row r="2103" spans="3:16" ht="15" customHeight="1">
      <c r="C2103" s="3">
        <v>20</v>
      </c>
      <c r="D2103" s="15" t="s">
        <v>1512</v>
      </c>
      <c r="E2103" s="312" t="s">
        <v>200</v>
      </c>
      <c r="G2103" s="26">
        <v>1842</v>
      </c>
      <c r="H2103" s="26">
        <v>2535</v>
      </c>
      <c r="I2103" s="26">
        <v>2214</v>
      </c>
      <c r="J2103" s="26">
        <v>2508</v>
      </c>
      <c r="K2103" s="26">
        <v>2100</v>
      </c>
      <c r="L2103" s="26">
        <v>1035</v>
      </c>
      <c r="M2103" s="26">
        <v>1774</v>
      </c>
      <c r="N2103" s="26">
        <v>2268</v>
      </c>
      <c r="O2103" s="285"/>
      <c r="P2103" s="78"/>
    </row>
    <row r="2104" spans="3:16" ht="15" customHeight="1">
      <c r="C2104" s="3">
        <v>20</v>
      </c>
      <c r="D2104" s="15" t="s">
        <v>1513</v>
      </c>
      <c r="E2104" s="312" t="s">
        <v>202</v>
      </c>
      <c r="G2104" s="26">
        <v>-59</v>
      </c>
      <c r="H2104" s="26">
        <v>0</v>
      </c>
      <c r="I2104" s="26">
        <v>0</v>
      </c>
      <c r="J2104" s="26">
        <v>0</v>
      </c>
      <c r="K2104" s="26">
        <v>0</v>
      </c>
      <c r="L2104" s="26">
        <v>0</v>
      </c>
      <c r="M2104" s="26">
        <v>0</v>
      </c>
      <c r="N2104" s="26">
        <v>0</v>
      </c>
      <c r="O2104" s="285"/>
      <c r="P2104" s="78"/>
    </row>
    <row r="2105" spans="3:16" ht="15" customHeight="1">
      <c r="C2105" s="3">
        <v>20</v>
      </c>
      <c r="D2105" s="15" t="s">
        <v>1514</v>
      </c>
      <c r="E2105" s="312" t="s">
        <v>130</v>
      </c>
      <c r="G2105" s="26">
        <v>10363</v>
      </c>
      <c r="H2105" s="26">
        <v>500</v>
      </c>
      <c r="I2105" s="26">
        <v>515</v>
      </c>
      <c r="J2105" s="26">
        <v>437</v>
      </c>
      <c r="K2105" s="26">
        <v>500</v>
      </c>
      <c r="L2105" s="26">
        <v>267</v>
      </c>
      <c r="M2105" s="26">
        <v>458</v>
      </c>
      <c r="N2105" s="26">
        <v>545</v>
      </c>
      <c r="O2105" s="285"/>
      <c r="P2105" s="78"/>
    </row>
    <row r="2106" spans="3:16" ht="15" customHeight="1">
      <c r="C2106" s="3">
        <v>20</v>
      </c>
      <c r="D2106" s="15" t="s">
        <v>1515</v>
      </c>
      <c r="E2106" s="312" t="s">
        <v>132</v>
      </c>
      <c r="G2106" s="26">
        <v>840</v>
      </c>
      <c r="H2106" s="26">
        <v>563</v>
      </c>
      <c r="I2106" s="26">
        <v>648</v>
      </c>
      <c r="J2106" s="26">
        <v>2457</v>
      </c>
      <c r="K2106" s="26">
        <v>2000</v>
      </c>
      <c r="L2106" s="26">
        <v>4796</v>
      </c>
      <c r="M2106" s="26">
        <v>8222</v>
      </c>
      <c r="N2106" s="26">
        <v>2180</v>
      </c>
      <c r="O2106" s="285"/>
      <c r="P2106" s="78"/>
    </row>
    <row r="2107" spans="3:16" ht="15" customHeight="1">
      <c r="C2107" s="3">
        <v>20</v>
      </c>
      <c r="D2107" s="15" t="s">
        <v>1516</v>
      </c>
      <c r="E2107" s="312" t="s">
        <v>206</v>
      </c>
      <c r="G2107" s="26">
        <v>504</v>
      </c>
      <c r="H2107" s="26">
        <v>487</v>
      </c>
      <c r="I2107" s="26">
        <v>351</v>
      </c>
      <c r="J2107" s="26">
        <v>553</v>
      </c>
      <c r="K2107" s="26">
        <v>650</v>
      </c>
      <c r="L2107" s="26">
        <v>332</v>
      </c>
      <c r="M2107" s="26">
        <v>569</v>
      </c>
      <c r="N2107" s="26">
        <v>702</v>
      </c>
      <c r="O2107" s="285"/>
      <c r="P2107" s="78"/>
    </row>
    <row r="2108" spans="3:16" ht="15" customHeight="1">
      <c r="C2108" s="3">
        <v>20</v>
      </c>
      <c r="D2108" s="15" t="s">
        <v>1517</v>
      </c>
      <c r="E2108" s="312" t="s">
        <v>208</v>
      </c>
      <c r="G2108" s="26">
        <v>23159</v>
      </c>
      <c r="H2108" s="26">
        <v>22547</v>
      </c>
      <c r="I2108" s="26">
        <v>23859</v>
      </c>
      <c r="J2108" s="26">
        <v>14833</v>
      </c>
      <c r="K2108" s="26">
        <v>22000</v>
      </c>
      <c r="L2108" s="26">
        <v>9764</v>
      </c>
      <c r="M2108" s="26">
        <v>16000</v>
      </c>
      <c r="N2108" s="26">
        <v>20000</v>
      </c>
      <c r="O2108" s="285"/>
      <c r="P2108" s="78"/>
    </row>
    <row r="2109" spans="3:16" ht="15" customHeight="1">
      <c r="C2109" s="3">
        <v>20</v>
      </c>
      <c r="D2109" s="15" t="s">
        <v>1518</v>
      </c>
      <c r="E2109" s="312" t="s">
        <v>210</v>
      </c>
      <c r="G2109" s="26">
        <v>0</v>
      </c>
      <c r="H2109" s="26">
        <v>0</v>
      </c>
      <c r="I2109" s="26">
        <v>0</v>
      </c>
      <c r="J2109" s="26">
        <v>0</v>
      </c>
      <c r="K2109" s="26">
        <v>0</v>
      </c>
      <c r="L2109" s="26">
        <v>0</v>
      </c>
      <c r="M2109" s="26">
        <v>0</v>
      </c>
      <c r="N2109" s="26">
        <v>0</v>
      </c>
      <c r="O2109" s="285"/>
      <c r="P2109" s="78"/>
    </row>
    <row r="2110" spans="3:16" ht="15" customHeight="1">
      <c r="C2110" s="3">
        <v>20</v>
      </c>
      <c r="D2110" s="15" t="s">
        <v>1519</v>
      </c>
      <c r="E2110" s="312" t="s">
        <v>134</v>
      </c>
      <c r="G2110" s="26">
        <v>0</v>
      </c>
      <c r="H2110" s="26">
        <v>0</v>
      </c>
      <c r="I2110" s="26">
        <v>0</v>
      </c>
      <c r="J2110" s="26">
        <v>0</v>
      </c>
      <c r="K2110" s="26">
        <v>0</v>
      </c>
      <c r="L2110" s="26">
        <v>0</v>
      </c>
      <c r="M2110" s="26">
        <v>0</v>
      </c>
      <c r="N2110" s="26">
        <v>0</v>
      </c>
      <c r="O2110" s="285"/>
      <c r="P2110" s="78"/>
    </row>
    <row r="2111" spans="3:16" ht="15" customHeight="1">
      <c r="C2111" s="3">
        <v>20</v>
      </c>
      <c r="D2111" s="15" t="s">
        <v>1520</v>
      </c>
      <c r="E2111" s="312" t="s">
        <v>213</v>
      </c>
      <c r="G2111" s="26">
        <v>0</v>
      </c>
      <c r="H2111" s="26">
        <v>0</v>
      </c>
      <c r="I2111" s="26">
        <v>0</v>
      </c>
      <c r="J2111" s="26">
        <v>0</v>
      </c>
      <c r="K2111" s="26">
        <v>0</v>
      </c>
      <c r="L2111" s="26">
        <v>0</v>
      </c>
      <c r="M2111" s="26">
        <v>0</v>
      </c>
      <c r="N2111" s="26">
        <v>0</v>
      </c>
      <c r="O2111" s="285"/>
      <c r="P2111" s="78"/>
    </row>
    <row r="2112" spans="3:16" ht="15" customHeight="1">
      <c r="C2112" s="3">
        <v>20</v>
      </c>
      <c r="D2112" s="15" t="s">
        <v>1521</v>
      </c>
      <c r="E2112" s="312" t="s">
        <v>1522</v>
      </c>
      <c r="G2112" s="26">
        <v>0</v>
      </c>
      <c r="H2112" s="26">
        <v>0</v>
      </c>
      <c r="I2112" s="26">
        <v>0</v>
      </c>
      <c r="J2112" s="26">
        <v>3272</v>
      </c>
      <c r="K2112" s="26">
        <v>0</v>
      </c>
      <c r="L2112" s="26">
        <v>810</v>
      </c>
      <c r="M2112" s="26">
        <v>1389</v>
      </c>
      <c r="N2112" s="26">
        <v>1500</v>
      </c>
      <c r="O2112" s="285"/>
      <c r="P2112" s="78"/>
    </row>
    <row r="2113" spans="1:24" ht="15" customHeight="1">
      <c r="G2113" s="26"/>
      <c r="H2113" s="26"/>
      <c r="I2113" s="26"/>
      <c r="J2113" s="26"/>
      <c r="K2113" s="26"/>
      <c r="L2113" s="26"/>
      <c r="M2113" s="26"/>
      <c r="N2113" s="26"/>
      <c r="P2113" s="78"/>
    </row>
    <row r="2114" spans="1:24" s="200" customFormat="1" ht="15" customHeight="1">
      <c r="A2114" s="196" t="s">
        <v>104</v>
      </c>
      <c r="B2114" s="201" t="s">
        <v>2317</v>
      </c>
      <c r="C2114" s="75"/>
      <c r="D2114" s="323" t="s">
        <v>2342</v>
      </c>
      <c r="E2114" s="323"/>
      <c r="F2114" s="324"/>
      <c r="G2114" s="325">
        <f>SUM(G2092:G2113)</f>
        <v>37982</v>
      </c>
      <c r="H2114" s="325">
        <f t="shared" ref="H2114:N2114" si="173">SUM(H2092:H2113)</f>
        <v>33998</v>
      </c>
      <c r="I2114" s="325">
        <f t="shared" si="173"/>
        <v>34626</v>
      </c>
      <c r="J2114" s="325">
        <f t="shared" si="173"/>
        <v>34079</v>
      </c>
      <c r="K2114" s="325">
        <f t="shared" si="173"/>
        <v>32950</v>
      </c>
      <c r="L2114" s="325">
        <f t="shared" si="173"/>
        <v>21900</v>
      </c>
      <c r="M2114" s="325">
        <f t="shared" si="173"/>
        <v>36196</v>
      </c>
      <c r="N2114" s="325">
        <f t="shared" si="173"/>
        <v>33341</v>
      </c>
      <c r="O2114" s="198"/>
      <c r="P2114" s="78"/>
    </row>
    <row r="2115" spans="1:24" s="46" customFormat="1" ht="15" customHeight="1">
      <c r="B2115" s="14"/>
      <c r="C2115" s="3"/>
      <c r="D2115" s="47"/>
      <c r="E2115" s="47"/>
      <c r="F2115" s="191"/>
      <c r="G2115" s="48"/>
      <c r="H2115" s="48"/>
      <c r="I2115" s="48"/>
      <c r="J2115" s="48"/>
      <c r="K2115" s="48"/>
      <c r="L2115" s="48"/>
      <c r="M2115" s="48"/>
      <c r="N2115" s="48"/>
      <c r="O2115" s="47"/>
      <c r="P2115" s="78"/>
    </row>
    <row r="2116" spans="1:24" ht="15" customHeight="1">
      <c r="D2116" s="47" t="s">
        <v>2343</v>
      </c>
      <c r="G2116" s="26"/>
      <c r="H2116" s="26"/>
      <c r="I2116" s="26"/>
      <c r="J2116" s="26"/>
      <c r="K2116" s="26"/>
      <c r="L2116" s="26"/>
      <c r="M2116" s="26"/>
      <c r="N2116" s="26"/>
      <c r="P2116" s="78"/>
    </row>
    <row r="2117" spans="1:24" ht="15" customHeight="1">
      <c r="G2117" s="26"/>
      <c r="H2117" s="26"/>
      <c r="I2117" s="26"/>
      <c r="J2117" s="26"/>
      <c r="K2117" s="26"/>
      <c r="L2117" s="26"/>
      <c r="M2117" s="26"/>
      <c r="N2117" s="26"/>
      <c r="P2117" s="81"/>
    </row>
    <row r="2118" spans="1:24" ht="15" customHeight="1">
      <c r="C2118" s="3">
        <v>20</v>
      </c>
      <c r="D2118" s="15" t="s">
        <v>1523</v>
      </c>
      <c r="E2118" s="312" t="s">
        <v>137</v>
      </c>
      <c r="G2118" s="26">
        <v>1724</v>
      </c>
      <c r="H2118" s="26">
        <v>1845</v>
      </c>
      <c r="I2118" s="26">
        <v>1654</v>
      </c>
      <c r="J2118" s="26">
        <v>1921</v>
      </c>
      <c r="K2118" s="26">
        <v>1800</v>
      </c>
      <c r="L2118" s="26">
        <v>1050</v>
      </c>
      <c r="M2118" s="26">
        <v>1800</v>
      </c>
      <c r="N2118" s="26">
        <v>1800</v>
      </c>
      <c r="O2118" s="285"/>
      <c r="P2118" s="83"/>
      <c r="Q2118" s="202">
        <v>1914</v>
      </c>
      <c r="R2118" s="210">
        <v>20</v>
      </c>
      <c r="S2118" s="205" t="s">
        <v>1523</v>
      </c>
      <c r="T2118" s="206" t="s">
        <v>137</v>
      </c>
      <c r="U2118" s="211">
        <v>1800</v>
      </c>
      <c r="V2118" s="211">
        <v>149.76</v>
      </c>
      <c r="W2118" s="213">
        <v>1199.32</v>
      </c>
      <c r="X2118" s="213">
        <v>66.63</v>
      </c>
    </row>
    <row r="2119" spans="1:24" ht="15" customHeight="1">
      <c r="C2119" s="3">
        <v>20</v>
      </c>
      <c r="D2119" s="15" t="s">
        <v>1524</v>
      </c>
      <c r="E2119" s="312" t="s">
        <v>216</v>
      </c>
      <c r="G2119" s="26">
        <v>0</v>
      </c>
      <c r="H2119" s="26">
        <v>0</v>
      </c>
      <c r="I2119" s="26">
        <v>0</v>
      </c>
      <c r="J2119" s="26">
        <v>0</v>
      </c>
      <c r="K2119" s="26">
        <v>0</v>
      </c>
      <c r="L2119" s="26">
        <v>0</v>
      </c>
      <c r="M2119" s="26">
        <v>0</v>
      </c>
      <c r="N2119" s="26">
        <v>0</v>
      </c>
      <c r="O2119" s="285"/>
      <c r="P2119" s="78"/>
      <c r="Q2119" s="202">
        <v>1915</v>
      </c>
      <c r="R2119" s="210">
        <v>20</v>
      </c>
      <c r="S2119" s="205" t="s">
        <v>1524</v>
      </c>
      <c r="T2119" s="206" t="s">
        <v>216</v>
      </c>
      <c r="U2119" s="211">
        <v>0</v>
      </c>
      <c r="V2119" s="211">
        <v>0</v>
      </c>
      <c r="W2119" s="213">
        <v>0</v>
      </c>
      <c r="X2119" s="213">
        <v>0</v>
      </c>
    </row>
    <row r="2120" spans="1:24" ht="15" customHeight="1">
      <c r="C2120" s="3">
        <v>20</v>
      </c>
      <c r="D2120" s="15" t="s">
        <v>1525</v>
      </c>
      <c r="E2120" s="312" t="s">
        <v>139</v>
      </c>
      <c r="G2120" s="26">
        <v>36852</v>
      </c>
      <c r="H2120" s="26">
        <v>46854</v>
      </c>
      <c r="I2120" s="26">
        <v>52082</v>
      </c>
      <c r="J2120" s="26">
        <v>61567</v>
      </c>
      <c r="K2120" s="26">
        <v>40000</v>
      </c>
      <c r="L2120" s="26">
        <v>31487</v>
      </c>
      <c r="M2120" s="26">
        <v>35000</v>
      </c>
      <c r="N2120" s="26">
        <v>50000</v>
      </c>
      <c r="O2120" s="285" t="s">
        <v>2952</v>
      </c>
      <c r="P2120" s="78"/>
      <c r="Q2120" s="202">
        <v>1916</v>
      </c>
      <c r="R2120" s="210">
        <v>20</v>
      </c>
      <c r="S2120" s="205" t="s">
        <v>1525</v>
      </c>
      <c r="T2120" s="206" t="s">
        <v>139</v>
      </c>
      <c r="U2120" s="211">
        <v>40000</v>
      </c>
      <c r="V2120" s="211">
        <v>1450.04</v>
      </c>
      <c r="W2120" s="213">
        <v>32937.230000000003</v>
      </c>
      <c r="X2120" s="213">
        <v>82.34</v>
      </c>
    </row>
    <row r="2121" spans="1:24" ht="15" customHeight="1">
      <c r="C2121" s="3">
        <v>20</v>
      </c>
      <c r="D2121" s="15" t="s">
        <v>1526</v>
      </c>
      <c r="E2121" s="312" t="s">
        <v>141</v>
      </c>
      <c r="G2121" s="26">
        <v>0</v>
      </c>
      <c r="H2121" s="26">
        <v>0</v>
      </c>
      <c r="I2121" s="26">
        <v>0</v>
      </c>
      <c r="J2121" s="26">
        <v>0</v>
      </c>
      <c r="K2121" s="26">
        <v>0</v>
      </c>
      <c r="L2121" s="26">
        <v>0</v>
      </c>
      <c r="M2121" s="26">
        <v>0</v>
      </c>
      <c r="N2121" s="26">
        <v>0</v>
      </c>
      <c r="O2121" s="285"/>
      <c r="P2121" s="73"/>
      <c r="Q2121" s="202">
        <v>1917</v>
      </c>
      <c r="R2121" s="210">
        <v>20</v>
      </c>
      <c r="S2121" s="205" t="s">
        <v>1526</v>
      </c>
      <c r="T2121" s="206" t="s">
        <v>141</v>
      </c>
      <c r="U2121" s="211">
        <v>0</v>
      </c>
      <c r="V2121" s="211">
        <v>0</v>
      </c>
      <c r="W2121" s="213">
        <v>0</v>
      </c>
      <c r="X2121" s="213">
        <v>0</v>
      </c>
    </row>
    <row r="2122" spans="1:24" ht="15" customHeight="1">
      <c r="C2122" s="3">
        <v>20</v>
      </c>
      <c r="D2122" s="15" t="s">
        <v>1527</v>
      </c>
      <c r="E2122" s="312" t="s">
        <v>143</v>
      </c>
      <c r="G2122" s="26">
        <v>0</v>
      </c>
      <c r="H2122" s="26">
        <v>0</v>
      </c>
      <c r="I2122" s="26">
        <v>0</v>
      </c>
      <c r="J2122" s="26">
        <v>0</v>
      </c>
      <c r="K2122" s="26">
        <v>0</v>
      </c>
      <c r="L2122" s="26">
        <v>0</v>
      </c>
      <c r="M2122" s="26">
        <v>0</v>
      </c>
      <c r="N2122" s="26">
        <v>0</v>
      </c>
      <c r="O2122" s="285"/>
      <c r="P2122" s="73"/>
      <c r="Q2122" s="202">
        <v>1918</v>
      </c>
      <c r="R2122" s="210">
        <v>20</v>
      </c>
      <c r="S2122" s="205" t="s">
        <v>1527</v>
      </c>
      <c r="T2122" s="206" t="s">
        <v>143</v>
      </c>
      <c r="U2122" s="211">
        <v>0</v>
      </c>
      <c r="V2122" s="211">
        <v>0</v>
      </c>
      <c r="W2122" s="213">
        <v>0</v>
      </c>
      <c r="X2122" s="213">
        <v>0</v>
      </c>
    </row>
    <row r="2123" spans="1:24" ht="15" customHeight="1">
      <c r="C2123" s="3">
        <v>20</v>
      </c>
      <c r="D2123" s="15" t="s">
        <v>1528</v>
      </c>
      <c r="E2123" s="312" t="s">
        <v>145</v>
      </c>
      <c r="G2123" s="26">
        <v>188182</v>
      </c>
      <c r="H2123" s="26">
        <v>166198</v>
      </c>
      <c r="I2123" s="26">
        <v>143516</v>
      </c>
      <c r="J2123" s="26">
        <v>144815</v>
      </c>
      <c r="K2123" s="26">
        <v>142000</v>
      </c>
      <c r="L2123" s="26">
        <v>67132</v>
      </c>
      <c r="M2123" s="26">
        <v>115084</v>
      </c>
      <c r="N2123" s="26">
        <v>130000</v>
      </c>
      <c r="O2123" s="285" t="s">
        <v>2953</v>
      </c>
      <c r="P2123" s="73"/>
      <c r="Q2123" s="202">
        <v>1919</v>
      </c>
      <c r="R2123" s="210">
        <v>20</v>
      </c>
      <c r="S2123" s="205" t="s">
        <v>1528</v>
      </c>
      <c r="T2123" s="206" t="s">
        <v>145</v>
      </c>
      <c r="U2123" s="211">
        <v>142000</v>
      </c>
      <c r="V2123" s="211">
        <v>12027.19</v>
      </c>
      <c r="W2123" s="213">
        <v>79159.37</v>
      </c>
      <c r="X2123" s="213">
        <v>55.75</v>
      </c>
    </row>
    <row r="2124" spans="1:24" ht="15" customHeight="1">
      <c r="C2124" s="3">
        <v>20</v>
      </c>
      <c r="D2124" s="15" t="s">
        <v>1529</v>
      </c>
      <c r="E2124" s="312" t="s">
        <v>659</v>
      </c>
      <c r="G2124" s="26">
        <v>0</v>
      </c>
      <c r="H2124" s="26">
        <v>0</v>
      </c>
      <c r="I2124" s="26">
        <v>0</v>
      </c>
      <c r="J2124" s="26">
        <v>0</v>
      </c>
      <c r="K2124" s="26">
        <v>0</v>
      </c>
      <c r="L2124" s="26">
        <v>0</v>
      </c>
      <c r="M2124" s="26">
        <v>0</v>
      </c>
      <c r="N2124" s="26">
        <v>0</v>
      </c>
      <c r="O2124" s="285"/>
      <c r="P2124" s="73"/>
      <c r="Q2124" s="202">
        <v>1920</v>
      </c>
      <c r="R2124" s="210">
        <v>20</v>
      </c>
      <c r="S2124" s="205" t="s">
        <v>1529</v>
      </c>
      <c r="T2124" s="206" t="s">
        <v>659</v>
      </c>
      <c r="U2124" s="211">
        <v>0</v>
      </c>
      <c r="V2124" s="211">
        <v>0</v>
      </c>
      <c r="W2124" s="213">
        <v>0</v>
      </c>
      <c r="X2124" s="213">
        <v>0</v>
      </c>
    </row>
    <row r="2125" spans="1:24" ht="15" customHeight="1">
      <c r="C2125" s="3">
        <v>20</v>
      </c>
      <c r="D2125" s="15" t="s">
        <v>1530</v>
      </c>
      <c r="E2125" s="312" t="s">
        <v>147</v>
      </c>
      <c r="G2125" s="26">
        <v>552</v>
      </c>
      <c r="H2125" s="26">
        <v>533</v>
      </c>
      <c r="I2125" s="26">
        <v>440</v>
      </c>
      <c r="J2125" s="26">
        <v>446</v>
      </c>
      <c r="K2125" s="26">
        <v>400</v>
      </c>
      <c r="L2125" s="26">
        <v>246</v>
      </c>
      <c r="M2125" s="26">
        <v>422</v>
      </c>
      <c r="N2125" s="26">
        <v>436</v>
      </c>
      <c r="O2125" s="285"/>
      <c r="P2125" s="73"/>
      <c r="Q2125" s="202">
        <v>1921</v>
      </c>
      <c r="R2125" s="210">
        <v>20</v>
      </c>
      <c r="S2125" s="205" t="s">
        <v>1530</v>
      </c>
      <c r="T2125" s="206" t="s">
        <v>147</v>
      </c>
      <c r="U2125" s="211">
        <v>400</v>
      </c>
      <c r="V2125" s="211">
        <v>36.25</v>
      </c>
      <c r="W2125" s="213">
        <v>281.86</v>
      </c>
      <c r="X2125" s="213">
        <v>70.47</v>
      </c>
    </row>
    <row r="2126" spans="1:24" ht="15" customHeight="1">
      <c r="C2126" s="3">
        <v>20</v>
      </c>
      <c r="D2126" s="15" t="s">
        <v>1531</v>
      </c>
      <c r="E2126" s="312" t="s">
        <v>149</v>
      </c>
      <c r="G2126" s="26">
        <v>21132</v>
      </c>
      <c r="H2126" s="26">
        <v>18387</v>
      </c>
      <c r="I2126" s="26">
        <v>28973</v>
      </c>
      <c r="J2126" s="26">
        <v>6574</v>
      </c>
      <c r="K2126" s="26">
        <v>22000</v>
      </c>
      <c r="L2126" s="26">
        <v>0</v>
      </c>
      <c r="M2126" s="26">
        <v>20000</v>
      </c>
      <c r="N2126" s="26">
        <v>22000</v>
      </c>
      <c r="O2126" s="285"/>
      <c r="P2126" s="73"/>
      <c r="Q2126" s="202">
        <v>1922</v>
      </c>
      <c r="R2126" s="210">
        <v>20</v>
      </c>
      <c r="S2126" s="205" t="s">
        <v>1531</v>
      </c>
      <c r="T2126" s="206" t="s">
        <v>149</v>
      </c>
      <c r="U2126" s="211">
        <v>22000</v>
      </c>
      <c r="V2126" s="211">
        <v>2016.82</v>
      </c>
      <c r="W2126" s="213">
        <v>2016.82</v>
      </c>
      <c r="X2126" s="213">
        <v>9.17</v>
      </c>
    </row>
    <row r="2127" spans="1:24" ht="15" customHeight="1">
      <c r="C2127" s="3">
        <v>20</v>
      </c>
      <c r="D2127" s="15" t="s">
        <v>1532</v>
      </c>
      <c r="E2127" s="312" t="s">
        <v>151</v>
      </c>
      <c r="G2127" s="26">
        <v>200</v>
      </c>
      <c r="H2127" s="26">
        <v>488</v>
      </c>
      <c r="I2127" s="26">
        <v>471</v>
      </c>
      <c r="J2127" s="26">
        <v>0</v>
      </c>
      <c r="K2127" s="26">
        <v>500</v>
      </c>
      <c r="L2127" s="26">
        <v>0</v>
      </c>
      <c r="M2127" s="26">
        <v>0</v>
      </c>
      <c r="N2127" s="26">
        <v>500</v>
      </c>
      <c r="O2127" s="285"/>
      <c r="P2127" s="73"/>
      <c r="Q2127" s="202">
        <v>1923</v>
      </c>
      <c r="R2127" s="210">
        <v>20</v>
      </c>
      <c r="S2127" s="205" t="s">
        <v>1532</v>
      </c>
      <c r="T2127" s="206" t="s">
        <v>151</v>
      </c>
      <c r="U2127" s="211">
        <v>500</v>
      </c>
      <c r="V2127" s="211">
        <v>111</v>
      </c>
      <c r="W2127" s="213">
        <v>111</v>
      </c>
      <c r="X2127" s="213">
        <v>22.2</v>
      </c>
    </row>
    <row r="2128" spans="1:24" ht="15" customHeight="1">
      <c r="C2128" s="3">
        <v>20</v>
      </c>
      <c r="D2128" s="15" t="s">
        <v>1533</v>
      </c>
      <c r="E2128" s="312" t="s">
        <v>153</v>
      </c>
      <c r="G2128" s="26">
        <v>2601</v>
      </c>
      <c r="H2128" s="26">
        <v>1556</v>
      </c>
      <c r="I2128" s="26">
        <v>111</v>
      </c>
      <c r="J2128" s="26">
        <v>1464</v>
      </c>
      <c r="K2128" s="26">
        <v>1500</v>
      </c>
      <c r="L2128" s="26">
        <v>599</v>
      </c>
      <c r="M2128" s="26">
        <v>1027</v>
      </c>
      <c r="N2128" s="26">
        <v>1500</v>
      </c>
      <c r="O2128" s="285"/>
      <c r="P2128" s="73"/>
      <c r="Q2128" s="202">
        <v>1924</v>
      </c>
      <c r="R2128" s="210">
        <v>20</v>
      </c>
      <c r="S2128" s="205" t="s">
        <v>1533</v>
      </c>
      <c r="T2128" s="206" t="s">
        <v>153</v>
      </c>
      <c r="U2128" s="211">
        <v>1500</v>
      </c>
      <c r="V2128" s="211">
        <v>0</v>
      </c>
      <c r="W2128" s="213">
        <v>599.37</v>
      </c>
      <c r="X2128" s="213">
        <v>39.96</v>
      </c>
    </row>
    <row r="2129" spans="1:24" ht="15" customHeight="1">
      <c r="C2129" s="3">
        <v>20</v>
      </c>
      <c r="D2129" s="15" t="s">
        <v>1534</v>
      </c>
      <c r="E2129" s="312" t="s">
        <v>157</v>
      </c>
      <c r="G2129" s="26">
        <v>0</v>
      </c>
      <c r="H2129" s="26">
        <v>0</v>
      </c>
      <c r="I2129" s="26">
        <v>0</v>
      </c>
      <c r="J2129" s="26">
        <v>310</v>
      </c>
      <c r="K2129" s="26">
        <v>300</v>
      </c>
      <c r="L2129" s="26">
        <v>325</v>
      </c>
      <c r="M2129" s="26">
        <v>557</v>
      </c>
      <c r="N2129" s="26">
        <v>300</v>
      </c>
      <c r="O2129" s="285"/>
      <c r="P2129" s="73"/>
      <c r="Q2129" s="202">
        <v>1925</v>
      </c>
      <c r="R2129" s="210">
        <v>20</v>
      </c>
      <c r="S2129" s="205" t="s">
        <v>1534</v>
      </c>
      <c r="T2129" s="206" t="s">
        <v>157</v>
      </c>
      <c r="U2129" s="211">
        <v>300</v>
      </c>
      <c r="V2129" s="211">
        <v>0</v>
      </c>
      <c r="W2129" s="213">
        <v>325</v>
      </c>
      <c r="X2129" s="213">
        <v>108.33</v>
      </c>
    </row>
    <row r="2130" spans="1:24" ht="15" customHeight="1">
      <c r="C2130" s="3">
        <v>20</v>
      </c>
      <c r="D2130" s="15" t="s">
        <v>1535</v>
      </c>
      <c r="E2130" s="312" t="s">
        <v>159</v>
      </c>
      <c r="G2130" s="26">
        <v>0</v>
      </c>
      <c r="H2130" s="26">
        <v>14514</v>
      </c>
      <c r="I2130" s="26">
        <v>18040</v>
      </c>
      <c r="J2130" s="26">
        <v>2128</v>
      </c>
      <c r="K2130" s="26">
        <v>2406</v>
      </c>
      <c r="L2130" s="26">
        <v>1935</v>
      </c>
      <c r="M2130" s="26">
        <v>2406</v>
      </c>
      <c r="N2130" s="26">
        <v>7089</v>
      </c>
      <c r="O2130" s="285"/>
      <c r="P2130" s="73"/>
      <c r="Q2130" s="202">
        <v>1926</v>
      </c>
      <c r="R2130" s="210">
        <v>20</v>
      </c>
      <c r="S2130" s="205" t="s">
        <v>1535</v>
      </c>
      <c r="T2130" s="206" t="s">
        <v>159</v>
      </c>
      <c r="U2130" s="211">
        <v>2406</v>
      </c>
      <c r="V2130" s="211">
        <v>0</v>
      </c>
      <c r="W2130" s="213">
        <v>1935.08</v>
      </c>
      <c r="X2130" s="213">
        <v>80.430000000000007</v>
      </c>
    </row>
    <row r="2131" spans="1:24" ht="15" customHeight="1">
      <c r="C2131" s="3">
        <v>20</v>
      </c>
      <c r="D2131" s="15" t="s">
        <v>1536</v>
      </c>
      <c r="E2131" s="312" t="s">
        <v>229</v>
      </c>
      <c r="G2131" s="26">
        <v>0</v>
      </c>
      <c r="H2131" s="26">
        <v>2038</v>
      </c>
      <c r="I2131" s="26">
        <v>2003</v>
      </c>
      <c r="J2131" s="26">
        <v>253</v>
      </c>
      <c r="K2131" s="26">
        <v>154</v>
      </c>
      <c r="L2131" s="26">
        <v>131</v>
      </c>
      <c r="M2131" s="26">
        <v>154</v>
      </c>
      <c r="N2131" s="26">
        <v>593</v>
      </c>
      <c r="O2131" s="285">
        <v>7681</v>
      </c>
      <c r="P2131" s="73"/>
      <c r="Q2131" s="202">
        <v>1927</v>
      </c>
      <c r="R2131" s="210">
        <v>20</v>
      </c>
      <c r="S2131" s="205" t="s">
        <v>1536</v>
      </c>
      <c r="T2131" s="206" t="s">
        <v>229</v>
      </c>
      <c r="U2131" s="211">
        <v>154</v>
      </c>
      <c r="V2131" s="211">
        <v>0</v>
      </c>
      <c r="W2131" s="213">
        <v>131</v>
      </c>
      <c r="X2131" s="213">
        <v>85.06</v>
      </c>
    </row>
    <row r="2132" spans="1:24" ht="15" customHeight="1">
      <c r="C2132" s="3">
        <v>20</v>
      </c>
      <c r="D2132" s="15" t="s">
        <v>1537</v>
      </c>
      <c r="E2132" s="312" t="s">
        <v>1429</v>
      </c>
      <c r="G2132" s="26">
        <v>0</v>
      </c>
      <c r="H2132" s="26">
        <v>183989</v>
      </c>
      <c r="I2132" s="26">
        <v>183989</v>
      </c>
      <c r="J2132" s="26">
        <v>183989</v>
      </c>
      <c r="K2132" s="26">
        <v>183989</v>
      </c>
      <c r="L2132" s="26">
        <v>107327</v>
      </c>
      <c r="M2132" s="26">
        <v>183989</v>
      </c>
      <c r="N2132" s="26">
        <v>205604</v>
      </c>
      <c r="O2132" s="285" t="s">
        <v>2919</v>
      </c>
      <c r="P2132" s="73"/>
      <c r="Q2132" s="202">
        <v>1928</v>
      </c>
      <c r="R2132" s="210">
        <v>20</v>
      </c>
      <c r="S2132" s="205" t="s">
        <v>1537</v>
      </c>
      <c r="T2132" s="206" t="s">
        <v>1429</v>
      </c>
      <c r="U2132" s="211">
        <v>183989</v>
      </c>
      <c r="V2132" s="211">
        <v>15332.41</v>
      </c>
      <c r="W2132" s="213">
        <v>122659.3</v>
      </c>
      <c r="X2132" s="213">
        <v>66.67</v>
      </c>
    </row>
    <row r="2133" spans="1:24" ht="15" customHeight="1">
      <c r="C2133" s="3">
        <v>20</v>
      </c>
      <c r="D2133" s="15" t="s">
        <v>1538</v>
      </c>
      <c r="E2133" s="312" t="s">
        <v>1431</v>
      </c>
      <c r="G2133" s="26">
        <v>0</v>
      </c>
      <c r="H2133" s="26">
        <v>23453</v>
      </c>
      <c r="I2133" s="26">
        <v>23453</v>
      </c>
      <c r="J2133" s="26">
        <v>23456</v>
      </c>
      <c r="K2133" s="26">
        <v>23456</v>
      </c>
      <c r="L2133" s="26">
        <v>13683</v>
      </c>
      <c r="M2133" s="26">
        <v>23456</v>
      </c>
      <c r="N2133" s="26">
        <v>27038</v>
      </c>
      <c r="O2133" s="285" t="s">
        <v>2919</v>
      </c>
      <c r="P2133" s="73"/>
      <c r="Q2133" s="202">
        <v>1929</v>
      </c>
      <c r="R2133" s="210">
        <v>20</v>
      </c>
      <c r="S2133" s="205" t="s">
        <v>1538</v>
      </c>
      <c r="T2133" s="206" t="s">
        <v>1431</v>
      </c>
      <c r="U2133" s="211">
        <v>23456</v>
      </c>
      <c r="V2133" s="211">
        <v>1954.67</v>
      </c>
      <c r="W2133" s="213">
        <v>15637.36</v>
      </c>
      <c r="X2133" s="213">
        <v>66.67</v>
      </c>
    </row>
    <row r="2134" spans="1:24" ht="15" customHeight="1">
      <c r="C2134" s="3">
        <v>20</v>
      </c>
      <c r="D2134" s="15" t="s">
        <v>1539</v>
      </c>
      <c r="E2134" s="312" t="s">
        <v>1433</v>
      </c>
      <c r="G2134" s="26">
        <v>0</v>
      </c>
      <c r="H2134" s="26">
        <v>78177</v>
      </c>
      <c r="I2134" s="26">
        <v>78177</v>
      </c>
      <c r="J2134" s="26">
        <v>78177</v>
      </c>
      <c r="K2134" s="26">
        <v>78117</v>
      </c>
      <c r="L2134" s="26">
        <v>45568</v>
      </c>
      <c r="M2134" s="26">
        <v>78117</v>
      </c>
      <c r="N2134" s="26">
        <v>83927</v>
      </c>
      <c r="O2134" s="285" t="s">
        <v>2919</v>
      </c>
      <c r="P2134" s="73"/>
      <c r="Q2134" s="202">
        <v>1930</v>
      </c>
      <c r="R2134" s="210">
        <v>20</v>
      </c>
      <c r="S2134" s="205" t="s">
        <v>1539</v>
      </c>
      <c r="T2134" s="206" t="s">
        <v>1433</v>
      </c>
      <c r="U2134" s="211">
        <v>78117</v>
      </c>
      <c r="V2134" s="211">
        <v>6509.75</v>
      </c>
      <c r="W2134" s="213">
        <v>52078</v>
      </c>
      <c r="X2134" s="213">
        <v>66.67</v>
      </c>
    </row>
    <row r="2135" spans="1:24" ht="15" customHeight="1">
      <c r="C2135" s="3">
        <v>20</v>
      </c>
      <c r="D2135" s="15" t="s">
        <v>1540</v>
      </c>
      <c r="E2135" s="312" t="s">
        <v>2555</v>
      </c>
      <c r="G2135" s="26">
        <v>0</v>
      </c>
      <c r="H2135" s="26">
        <v>35867</v>
      </c>
      <c r="I2135" s="26">
        <v>35087</v>
      </c>
      <c r="J2135" s="26">
        <v>35087</v>
      </c>
      <c r="K2135" s="26">
        <v>35087</v>
      </c>
      <c r="L2135" s="26">
        <v>20467</v>
      </c>
      <c r="M2135" s="26">
        <v>35087</v>
      </c>
      <c r="N2135" s="26">
        <v>45912</v>
      </c>
      <c r="O2135" s="285" t="s">
        <v>2919</v>
      </c>
      <c r="P2135" s="73"/>
      <c r="Q2135" s="202">
        <v>1931</v>
      </c>
      <c r="R2135" s="210">
        <v>20</v>
      </c>
      <c r="S2135" s="205" t="s">
        <v>1540</v>
      </c>
      <c r="T2135" s="206" t="s">
        <v>2555</v>
      </c>
      <c r="U2135" s="211">
        <v>35087</v>
      </c>
      <c r="V2135" s="211">
        <v>2923.92</v>
      </c>
      <c r="W2135" s="213">
        <v>23391.360000000001</v>
      </c>
      <c r="X2135" s="213">
        <v>66.67</v>
      </c>
    </row>
    <row r="2136" spans="1:24" ht="15" customHeight="1">
      <c r="C2136" s="3">
        <v>20</v>
      </c>
      <c r="D2136" s="15" t="s">
        <v>1541</v>
      </c>
      <c r="E2136" s="312" t="s">
        <v>162</v>
      </c>
      <c r="G2136" s="26">
        <v>336</v>
      </c>
      <c r="H2136" s="26">
        <v>0</v>
      </c>
      <c r="I2136" s="26">
        <v>0</v>
      </c>
      <c r="J2136" s="26">
        <v>240</v>
      </c>
      <c r="K2136" s="26">
        <v>0</v>
      </c>
      <c r="L2136" s="26">
        <v>0</v>
      </c>
      <c r="M2136" s="26">
        <v>0</v>
      </c>
      <c r="N2136" s="26">
        <v>0</v>
      </c>
      <c r="O2136" s="285"/>
      <c r="P2136" s="73"/>
      <c r="Q2136" s="202">
        <v>1932</v>
      </c>
      <c r="R2136" s="210">
        <v>20</v>
      </c>
      <c r="S2136" s="205" t="s">
        <v>1541</v>
      </c>
      <c r="T2136" s="206" t="s">
        <v>162</v>
      </c>
      <c r="U2136" s="211">
        <v>0</v>
      </c>
      <c r="V2136" s="211">
        <v>50.4</v>
      </c>
      <c r="W2136" s="213">
        <v>50.4</v>
      </c>
      <c r="X2136" s="213">
        <v>0</v>
      </c>
    </row>
    <row r="2137" spans="1:24" ht="15" customHeight="1">
      <c r="G2137" s="26"/>
      <c r="H2137" s="26"/>
      <c r="I2137" s="26"/>
      <c r="J2137" s="26"/>
      <c r="K2137" s="26"/>
      <c r="L2137" s="26"/>
      <c r="M2137" s="26"/>
      <c r="N2137" s="26"/>
      <c r="P2137" s="73"/>
      <c r="Q2137" s="202">
        <v>1933</v>
      </c>
      <c r="R2137" s="210">
        <v>20</v>
      </c>
      <c r="S2137" s="205" t="s">
        <v>2623</v>
      </c>
      <c r="T2137" s="206"/>
      <c r="U2137" s="211"/>
      <c r="V2137" s="211"/>
      <c r="W2137" s="213"/>
      <c r="X2137" s="213"/>
    </row>
    <row r="2138" spans="1:24" s="22" customFormat="1" ht="15" customHeight="1">
      <c r="A2138" s="5" t="s">
        <v>135</v>
      </c>
      <c r="B2138" s="62" t="s">
        <v>2317</v>
      </c>
      <c r="C2138" s="3"/>
      <c r="D2138" s="323" t="s">
        <v>3089</v>
      </c>
      <c r="E2138" s="323"/>
      <c r="F2138" s="324"/>
      <c r="G2138" s="325">
        <f>SUM(G2116:G2137)</f>
        <v>251579</v>
      </c>
      <c r="H2138" s="325">
        <f t="shared" ref="H2138:N2138" si="174">SUM(H2116:H2137)</f>
        <v>573899</v>
      </c>
      <c r="I2138" s="325">
        <f t="shared" si="174"/>
        <v>567996</v>
      </c>
      <c r="J2138" s="325">
        <f t="shared" si="174"/>
        <v>540427</v>
      </c>
      <c r="K2138" s="325">
        <f t="shared" si="174"/>
        <v>531709</v>
      </c>
      <c r="L2138" s="325">
        <f t="shared" si="174"/>
        <v>289950</v>
      </c>
      <c r="M2138" s="325">
        <f t="shared" si="174"/>
        <v>497099</v>
      </c>
      <c r="N2138" s="325">
        <f t="shared" si="174"/>
        <v>576699</v>
      </c>
      <c r="O2138" s="18"/>
      <c r="P2138" s="73"/>
      <c r="Q2138" s="202">
        <v>1934</v>
      </c>
      <c r="R2138" s="210">
        <v>20</v>
      </c>
      <c r="S2138" s="205" t="s">
        <v>135</v>
      </c>
      <c r="T2138" s="206"/>
      <c r="U2138" s="211">
        <v>531709</v>
      </c>
      <c r="V2138" s="211">
        <v>42562.21</v>
      </c>
      <c r="W2138" s="213">
        <v>332512.46999999997</v>
      </c>
      <c r="X2138" s="213">
        <v>0</v>
      </c>
    </row>
    <row r="2139" spans="1:24" s="46" customFormat="1" ht="15" customHeight="1">
      <c r="B2139" s="14"/>
      <c r="C2139" s="3"/>
      <c r="D2139" s="47"/>
      <c r="E2139" s="47"/>
      <c r="F2139" s="191"/>
      <c r="G2139" s="48"/>
      <c r="H2139" s="48"/>
      <c r="I2139" s="48"/>
      <c r="J2139" s="48"/>
      <c r="K2139" s="48"/>
      <c r="L2139" s="48"/>
      <c r="M2139" s="48"/>
      <c r="N2139" s="48"/>
      <c r="O2139" s="47"/>
      <c r="P2139" s="78"/>
      <c r="Q2139" s="202">
        <v>1935</v>
      </c>
      <c r="R2139" s="210">
        <v>20</v>
      </c>
      <c r="S2139" s="205" t="s">
        <v>163</v>
      </c>
      <c r="T2139" s="206"/>
      <c r="U2139" s="211"/>
      <c r="V2139" s="211"/>
      <c r="W2139" s="213"/>
      <c r="X2139" s="213"/>
    </row>
    <row r="2140" spans="1:24" ht="15" customHeight="1">
      <c r="D2140" s="47" t="s">
        <v>2344</v>
      </c>
      <c r="G2140" s="26"/>
      <c r="H2140" s="26"/>
      <c r="I2140" s="26"/>
      <c r="J2140" s="26"/>
      <c r="K2140" s="26"/>
      <c r="L2140" s="26"/>
      <c r="M2140" s="26"/>
      <c r="N2140" s="26"/>
      <c r="P2140" s="199"/>
      <c r="Q2140" s="202">
        <v>1936</v>
      </c>
      <c r="R2140" s="210">
        <v>20</v>
      </c>
      <c r="S2140" s="205" t="s">
        <v>2627</v>
      </c>
      <c r="T2140" s="206"/>
      <c r="U2140" s="211"/>
      <c r="V2140" s="211"/>
      <c r="W2140" s="213"/>
      <c r="X2140" s="213"/>
    </row>
    <row r="2141" spans="1:24" ht="15" customHeight="1">
      <c r="G2141" s="26"/>
      <c r="H2141" s="26"/>
      <c r="I2141" s="26"/>
      <c r="J2141" s="26"/>
      <c r="K2141" s="26"/>
      <c r="L2141" s="26"/>
      <c r="M2141" s="26"/>
      <c r="N2141" s="26"/>
      <c r="P2141" s="83"/>
    </row>
    <row r="2142" spans="1:24" ht="15" customHeight="1">
      <c r="C2142" s="3">
        <v>20</v>
      </c>
      <c r="D2142" s="15" t="s">
        <v>1542</v>
      </c>
      <c r="E2142" s="312" t="s">
        <v>433</v>
      </c>
      <c r="G2142" s="26">
        <v>0</v>
      </c>
      <c r="H2142" s="26">
        <v>0</v>
      </c>
      <c r="I2142" s="26">
        <v>0</v>
      </c>
      <c r="J2142" s="26">
        <v>0</v>
      </c>
      <c r="K2142" s="26">
        <v>0</v>
      </c>
      <c r="L2142" s="26">
        <v>1528</v>
      </c>
      <c r="M2142" s="26">
        <v>2619</v>
      </c>
      <c r="N2142" s="26">
        <v>0</v>
      </c>
      <c r="O2142" s="285"/>
      <c r="P2142" s="78"/>
      <c r="Q2142" s="202">
        <v>1937</v>
      </c>
      <c r="R2142" s="210">
        <v>20</v>
      </c>
      <c r="S2142" s="205" t="s">
        <v>1542</v>
      </c>
      <c r="T2142" s="206" t="s">
        <v>433</v>
      </c>
      <c r="U2142" s="211">
        <v>0</v>
      </c>
      <c r="V2142" s="211">
        <v>0</v>
      </c>
      <c r="W2142" s="213">
        <v>1527.79</v>
      </c>
      <c r="X2142" s="213">
        <v>0</v>
      </c>
    </row>
    <row r="2143" spans="1:24" ht="15" customHeight="1">
      <c r="C2143" s="3">
        <v>20</v>
      </c>
      <c r="D2143" s="15" t="s">
        <v>1543</v>
      </c>
      <c r="E2143" s="312" t="s">
        <v>435</v>
      </c>
      <c r="G2143" s="26">
        <v>0</v>
      </c>
      <c r="H2143" s="26">
        <v>0</v>
      </c>
      <c r="I2143" s="26">
        <v>0</v>
      </c>
      <c r="J2143" s="26">
        <v>0</v>
      </c>
      <c r="K2143" s="26">
        <v>0</v>
      </c>
      <c r="L2143" s="26">
        <v>0</v>
      </c>
      <c r="M2143" s="26">
        <v>0</v>
      </c>
      <c r="N2143" s="26">
        <v>0</v>
      </c>
      <c r="O2143" s="285"/>
      <c r="P2143" s="78"/>
      <c r="Q2143" s="202">
        <v>1938</v>
      </c>
      <c r="R2143" s="210">
        <v>20</v>
      </c>
      <c r="S2143" s="205" t="s">
        <v>1543</v>
      </c>
      <c r="T2143" s="206" t="s">
        <v>435</v>
      </c>
      <c r="U2143" s="211">
        <v>0</v>
      </c>
      <c r="V2143" s="211">
        <v>0</v>
      </c>
      <c r="W2143" s="213">
        <v>0</v>
      </c>
      <c r="X2143" s="213">
        <v>0</v>
      </c>
    </row>
    <row r="2144" spans="1:24" ht="15" customHeight="1">
      <c r="C2144" s="3">
        <v>20</v>
      </c>
      <c r="D2144" s="15" t="s">
        <v>1544</v>
      </c>
      <c r="E2144" s="312" t="s">
        <v>232</v>
      </c>
      <c r="G2144" s="26">
        <v>263</v>
      </c>
      <c r="H2144" s="26">
        <v>4632</v>
      </c>
      <c r="I2144" s="26">
        <v>462</v>
      </c>
      <c r="J2144" s="26">
        <v>1461</v>
      </c>
      <c r="K2144" s="26">
        <v>500</v>
      </c>
      <c r="L2144" s="26">
        <v>247</v>
      </c>
      <c r="M2144" s="26">
        <v>423</v>
      </c>
      <c r="N2144" s="26">
        <v>500</v>
      </c>
      <c r="O2144" s="285"/>
      <c r="P2144" s="73"/>
      <c r="Q2144" s="202">
        <v>1939</v>
      </c>
      <c r="R2144" s="210">
        <v>20</v>
      </c>
      <c r="S2144" s="205" t="s">
        <v>1544</v>
      </c>
      <c r="T2144" s="206" t="s">
        <v>232</v>
      </c>
      <c r="U2144" s="211">
        <v>500</v>
      </c>
      <c r="V2144" s="211">
        <v>30</v>
      </c>
      <c r="W2144" s="213">
        <v>277</v>
      </c>
      <c r="X2144" s="213">
        <v>55.4</v>
      </c>
    </row>
    <row r="2145" spans="3:24" ht="15" customHeight="1">
      <c r="C2145" s="3">
        <v>20</v>
      </c>
      <c r="D2145" s="15" t="s">
        <v>1545</v>
      </c>
      <c r="E2145" s="312" t="s">
        <v>1546</v>
      </c>
      <c r="G2145" s="26">
        <v>31768</v>
      </c>
      <c r="H2145" s="26">
        <v>45100</v>
      </c>
      <c r="I2145" s="26">
        <v>40468</v>
      </c>
      <c r="J2145" s="26">
        <v>32934</v>
      </c>
      <c r="K2145" s="26">
        <v>40000</v>
      </c>
      <c r="L2145" s="26">
        <v>13335</v>
      </c>
      <c r="M2145" s="26">
        <v>22860</v>
      </c>
      <c r="N2145" s="26">
        <v>35000</v>
      </c>
      <c r="O2145" s="285"/>
      <c r="P2145" s="73"/>
      <c r="Q2145" s="202">
        <v>1940</v>
      </c>
      <c r="R2145" s="210">
        <v>20</v>
      </c>
      <c r="S2145" s="205" t="s">
        <v>1545</v>
      </c>
      <c r="T2145" s="206" t="s">
        <v>1546</v>
      </c>
      <c r="U2145" s="211">
        <v>40000</v>
      </c>
      <c r="V2145" s="211">
        <v>13135.5</v>
      </c>
      <c r="W2145" s="213">
        <v>26470.79</v>
      </c>
      <c r="X2145" s="213">
        <v>66.180000000000007</v>
      </c>
    </row>
    <row r="2146" spans="3:24" ht="15" customHeight="1">
      <c r="C2146" s="3">
        <v>20</v>
      </c>
      <c r="D2146" s="15" t="s">
        <v>1547</v>
      </c>
      <c r="E2146" s="312" t="s">
        <v>440</v>
      </c>
      <c r="G2146" s="26">
        <v>175</v>
      </c>
      <c r="H2146" s="26">
        <v>0</v>
      </c>
      <c r="I2146" s="26">
        <v>0</v>
      </c>
      <c r="J2146" s="26">
        <v>0</v>
      </c>
      <c r="K2146" s="26">
        <v>0</v>
      </c>
      <c r="L2146" s="26">
        <v>0</v>
      </c>
      <c r="M2146" s="26">
        <v>0</v>
      </c>
      <c r="N2146" s="26">
        <v>0</v>
      </c>
      <c r="O2146" s="285"/>
      <c r="P2146" s="73"/>
      <c r="Q2146" s="202">
        <v>1941</v>
      </c>
      <c r="R2146" s="210">
        <v>20</v>
      </c>
      <c r="S2146" s="205" t="s">
        <v>1547</v>
      </c>
      <c r="T2146" s="206" t="s">
        <v>440</v>
      </c>
      <c r="U2146" s="211">
        <v>0</v>
      </c>
      <c r="V2146" s="211">
        <v>0</v>
      </c>
      <c r="W2146" s="213">
        <v>0</v>
      </c>
      <c r="X2146" s="213">
        <v>0</v>
      </c>
    </row>
    <row r="2147" spans="3:24" ht="15" customHeight="1">
      <c r="C2147" s="3">
        <v>20</v>
      </c>
      <c r="D2147" s="15" t="s">
        <v>1548</v>
      </c>
      <c r="E2147" s="312" t="s">
        <v>443</v>
      </c>
      <c r="G2147" s="26">
        <v>0</v>
      </c>
      <c r="H2147" s="26">
        <v>0</v>
      </c>
      <c r="I2147" s="26">
        <v>0</v>
      </c>
      <c r="J2147" s="26">
        <v>0</v>
      </c>
      <c r="K2147" s="26">
        <v>0</v>
      </c>
      <c r="L2147" s="26">
        <v>0</v>
      </c>
      <c r="M2147" s="26">
        <v>0</v>
      </c>
      <c r="N2147" s="26">
        <v>0</v>
      </c>
      <c r="O2147" s="285"/>
      <c r="P2147" s="73"/>
      <c r="Q2147" s="202">
        <v>1942</v>
      </c>
      <c r="R2147" s="210">
        <v>20</v>
      </c>
      <c r="S2147" s="205" t="s">
        <v>1548</v>
      </c>
      <c r="T2147" s="206" t="s">
        <v>443</v>
      </c>
      <c r="U2147" s="211">
        <v>0</v>
      </c>
      <c r="V2147" s="211">
        <v>0</v>
      </c>
      <c r="W2147" s="213">
        <v>0</v>
      </c>
      <c r="X2147" s="213">
        <v>0</v>
      </c>
    </row>
    <row r="2148" spans="3:24" ht="15" customHeight="1">
      <c r="C2148" s="3">
        <v>20</v>
      </c>
      <c r="D2148" s="15" t="s">
        <v>1549</v>
      </c>
      <c r="E2148" s="312" t="s">
        <v>445</v>
      </c>
      <c r="G2148" s="26">
        <v>0</v>
      </c>
      <c r="H2148" s="26">
        <v>0</v>
      </c>
      <c r="I2148" s="26">
        <v>0</v>
      </c>
      <c r="J2148" s="26">
        <v>0</v>
      </c>
      <c r="K2148" s="26">
        <v>0</v>
      </c>
      <c r="L2148" s="26">
        <v>0</v>
      </c>
      <c r="M2148" s="26">
        <v>0</v>
      </c>
      <c r="N2148" s="26">
        <v>0</v>
      </c>
      <c r="O2148" s="285"/>
      <c r="P2148" s="73"/>
      <c r="Q2148" s="202">
        <v>1943</v>
      </c>
      <c r="R2148" s="210">
        <v>20</v>
      </c>
      <c r="S2148" s="205" t="s">
        <v>1549</v>
      </c>
      <c r="T2148" s="206" t="s">
        <v>445</v>
      </c>
      <c r="U2148" s="211">
        <v>0</v>
      </c>
      <c r="V2148" s="211">
        <v>0</v>
      </c>
      <c r="W2148" s="213">
        <v>0</v>
      </c>
      <c r="X2148" s="213">
        <v>0</v>
      </c>
    </row>
    <row r="2149" spans="3:24" ht="15" customHeight="1">
      <c r="C2149" s="3">
        <v>20</v>
      </c>
      <c r="D2149" s="15" t="s">
        <v>1550</v>
      </c>
      <c r="E2149" s="312" t="s">
        <v>329</v>
      </c>
      <c r="G2149" s="26">
        <v>0</v>
      </c>
      <c r="H2149" s="26">
        <v>0</v>
      </c>
      <c r="I2149" s="26">
        <v>0</v>
      </c>
      <c r="J2149" s="26">
        <v>188</v>
      </c>
      <c r="K2149" s="26">
        <v>0</v>
      </c>
      <c r="L2149" s="26">
        <v>0</v>
      </c>
      <c r="M2149" s="26">
        <v>0</v>
      </c>
      <c r="N2149" s="26">
        <v>0</v>
      </c>
      <c r="O2149" s="285"/>
      <c r="P2149" s="73"/>
      <c r="Q2149" s="202">
        <v>1944</v>
      </c>
      <c r="R2149" s="210">
        <v>20</v>
      </c>
      <c r="S2149" s="205" t="s">
        <v>1550</v>
      </c>
      <c r="T2149" s="206" t="s">
        <v>329</v>
      </c>
      <c r="U2149" s="211">
        <v>0</v>
      </c>
      <c r="V2149" s="211">
        <v>0</v>
      </c>
      <c r="W2149" s="213">
        <v>0</v>
      </c>
      <c r="X2149" s="213">
        <v>0</v>
      </c>
    </row>
    <row r="2150" spans="3:24" ht="15" customHeight="1">
      <c r="C2150" s="3">
        <v>20</v>
      </c>
      <c r="D2150" s="15" t="s">
        <v>1551</v>
      </c>
      <c r="E2150" s="312" t="s">
        <v>165</v>
      </c>
      <c r="G2150" s="26">
        <v>0</v>
      </c>
      <c r="H2150" s="26">
        <v>0</v>
      </c>
      <c r="I2150" s="26">
        <v>0</v>
      </c>
      <c r="J2150" s="26">
        <v>130</v>
      </c>
      <c r="K2150" s="26">
        <v>0</v>
      </c>
      <c r="L2150" s="26">
        <v>0</v>
      </c>
      <c r="M2150" s="26">
        <v>0</v>
      </c>
      <c r="N2150" s="26">
        <v>0</v>
      </c>
      <c r="O2150" s="285"/>
      <c r="P2150" s="73"/>
      <c r="Q2150" s="202">
        <v>1945</v>
      </c>
      <c r="R2150" s="210">
        <v>20</v>
      </c>
      <c r="S2150" s="205" t="s">
        <v>1551</v>
      </c>
      <c r="T2150" s="206" t="s">
        <v>165</v>
      </c>
      <c r="U2150" s="211">
        <v>0</v>
      </c>
      <c r="V2150" s="211">
        <v>0</v>
      </c>
      <c r="W2150" s="213">
        <v>0</v>
      </c>
      <c r="X2150" s="213">
        <v>0</v>
      </c>
    </row>
    <row r="2151" spans="3:24" ht="15" customHeight="1">
      <c r="C2151" s="3">
        <v>20</v>
      </c>
      <c r="D2151" s="15" t="s">
        <v>1552</v>
      </c>
      <c r="E2151" s="312" t="s">
        <v>167</v>
      </c>
      <c r="G2151" s="26">
        <v>933</v>
      </c>
      <c r="H2151" s="26">
        <v>822</v>
      </c>
      <c r="I2151" s="26">
        <v>3047</v>
      </c>
      <c r="J2151" s="26">
        <v>533</v>
      </c>
      <c r="K2151" s="26">
        <v>3000</v>
      </c>
      <c r="L2151" s="26">
        <v>1032</v>
      </c>
      <c r="M2151" s="26">
        <v>1769</v>
      </c>
      <c r="N2151" s="26">
        <v>3270</v>
      </c>
      <c r="O2151" s="285"/>
      <c r="P2151" s="73"/>
      <c r="Q2151" s="202">
        <v>1946</v>
      </c>
      <c r="R2151" s="210">
        <v>20</v>
      </c>
      <c r="S2151" s="205" t="s">
        <v>1552</v>
      </c>
      <c r="T2151" s="206" t="s">
        <v>167</v>
      </c>
      <c r="U2151" s="211">
        <v>3000</v>
      </c>
      <c r="V2151" s="211">
        <v>0</v>
      </c>
      <c r="W2151" s="213">
        <v>1031.77</v>
      </c>
      <c r="X2151" s="213">
        <v>34.39</v>
      </c>
    </row>
    <row r="2152" spans="3:24" ht="15" customHeight="1">
      <c r="C2152" s="3">
        <v>20</v>
      </c>
      <c r="D2152" s="15" t="s">
        <v>1553</v>
      </c>
      <c r="E2152" s="312" t="s">
        <v>169</v>
      </c>
      <c r="G2152" s="26">
        <v>334</v>
      </c>
      <c r="H2152" s="26">
        <v>1078</v>
      </c>
      <c r="I2152" s="26">
        <v>485</v>
      </c>
      <c r="J2152" s="26">
        <v>745</v>
      </c>
      <c r="K2152" s="26">
        <v>1000</v>
      </c>
      <c r="L2152" s="26">
        <v>0</v>
      </c>
      <c r="M2152" s="26">
        <v>0</v>
      </c>
      <c r="N2152" s="26">
        <v>1000</v>
      </c>
      <c r="O2152" s="285"/>
      <c r="P2152" s="73"/>
      <c r="Q2152" s="202">
        <v>1947</v>
      </c>
      <c r="R2152" s="210">
        <v>20</v>
      </c>
      <c r="S2152" s="205" t="s">
        <v>1553</v>
      </c>
      <c r="T2152" s="206" t="s">
        <v>169</v>
      </c>
      <c r="U2152" s="211">
        <v>1000</v>
      </c>
      <c r="V2152" s="211">
        <v>555.72</v>
      </c>
      <c r="W2152" s="213">
        <v>555.72</v>
      </c>
      <c r="X2152" s="213">
        <v>55.57</v>
      </c>
    </row>
    <row r="2153" spans="3:24" ht="15" customHeight="1">
      <c r="C2153" s="3">
        <v>20</v>
      </c>
      <c r="D2153" s="15" t="s">
        <v>1554</v>
      </c>
      <c r="E2153" s="312" t="s">
        <v>171</v>
      </c>
      <c r="G2153" s="26">
        <v>177</v>
      </c>
      <c r="H2153" s="26">
        <v>1366</v>
      </c>
      <c r="I2153" s="26">
        <v>397</v>
      </c>
      <c r="J2153" s="26">
        <v>3743</v>
      </c>
      <c r="K2153" s="26">
        <v>3080</v>
      </c>
      <c r="L2153" s="26">
        <v>1492</v>
      </c>
      <c r="M2153" s="26">
        <v>2558</v>
      </c>
      <c r="N2153" s="26">
        <v>3350</v>
      </c>
      <c r="O2153" s="285"/>
      <c r="P2153" s="73"/>
      <c r="Q2153" s="202">
        <v>1948</v>
      </c>
      <c r="R2153" s="210">
        <v>20</v>
      </c>
      <c r="S2153" s="205" t="s">
        <v>1554</v>
      </c>
      <c r="T2153" s="206" t="s">
        <v>171</v>
      </c>
      <c r="U2153" s="211">
        <v>3080</v>
      </c>
      <c r="V2153" s="211">
        <v>20.100000000000001</v>
      </c>
      <c r="W2153" s="213">
        <v>1511.71</v>
      </c>
      <c r="X2153" s="213">
        <v>49.08</v>
      </c>
    </row>
    <row r="2154" spans="3:24" ht="15" customHeight="1">
      <c r="C2154" s="3">
        <v>20</v>
      </c>
      <c r="D2154" s="15" t="s">
        <v>1555</v>
      </c>
      <c r="E2154" s="312" t="s">
        <v>173</v>
      </c>
      <c r="G2154" s="26">
        <v>213</v>
      </c>
      <c r="H2154" s="26">
        <v>1722</v>
      </c>
      <c r="I2154" s="26">
        <v>2371</v>
      </c>
      <c r="J2154" s="26">
        <v>1600</v>
      </c>
      <c r="K2154" s="26">
        <v>500</v>
      </c>
      <c r="L2154" s="26">
        <v>357</v>
      </c>
      <c r="M2154" s="26">
        <v>612</v>
      </c>
      <c r="N2154" s="26">
        <v>545</v>
      </c>
      <c r="O2154" s="285"/>
      <c r="P2154" s="73"/>
      <c r="Q2154" s="202">
        <v>1949</v>
      </c>
      <c r="R2154" s="210">
        <v>20</v>
      </c>
      <c r="S2154" s="205" t="s">
        <v>1555</v>
      </c>
      <c r="T2154" s="206" t="s">
        <v>173</v>
      </c>
      <c r="U2154" s="211">
        <v>500</v>
      </c>
      <c r="V2154" s="211">
        <v>0</v>
      </c>
      <c r="W2154" s="213">
        <v>357.33</v>
      </c>
      <c r="X2154" s="213">
        <v>71.47</v>
      </c>
    </row>
    <row r="2155" spans="3:24" ht="15" customHeight="1">
      <c r="C2155" s="3">
        <v>20</v>
      </c>
      <c r="D2155" s="15" t="s">
        <v>1556</v>
      </c>
      <c r="E2155" s="312" t="s">
        <v>175</v>
      </c>
      <c r="G2155" s="26">
        <v>0</v>
      </c>
      <c r="H2155" s="26">
        <v>0</v>
      </c>
      <c r="I2155" s="26">
        <v>0</v>
      </c>
      <c r="J2155" s="26">
        <v>0</v>
      </c>
      <c r="K2155" s="26">
        <v>0</v>
      </c>
      <c r="L2155" s="26">
        <v>0</v>
      </c>
      <c r="M2155" s="26">
        <v>0</v>
      </c>
      <c r="N2155" s="26">
        <v>0</v>
      </c>
      <c r="O2155" s="285"/>
      <c r="P2155" s="73"/>
      <c r="Q2155" s="202">
        <v>1950</v>
      </c>
      <c r="R2155" s="210">
        <v>20</v>
      </c>
      <c r="S2155" s="205" t="s">
        <v>1556</v>
      </c>
      <c r="T2155" s="206" t="s">
        <v>175</v>
      </c>
      <c r="U2155" s="211">
        <v>0</v>
      </c>
      <c r="V2155" s="211">
        <v>0</v>
      </c>
      <c r="W2155" s="213">
        <v>0</v>
      </c>
      <c r="X2155" s="213">
        <v>0</v>
      </c>
    </row>
    <row r="2156" spans="3:24" ht="15" customHeight="1">
      <c r="C2156" s="3">
        <v>20</v>
      </c>
      <c r="D2156" s="15" t="s">
        <v>1557</v>
      </c>
      <c r="E2156" s="312" t="s">
        <v>773</v>
      </c>
      <c r="G2156" s="26">
        <v>0</v>
      </c>
      <c r="H2156" s="26">
        <v>0</v>
      </c>
      <c r="I2156" s="26">
        <v>0</v>
      </c>
      <c r="J2156" s="26">
        <v>0</v>
      </c>
      <c r="K2156" s="26">
        <v>0</v>
      </c>
      <c r="L2156" s="26">
        <v>0</v>
      </c>
      <c r="M2156" s="26">
        <v>0</v>
      </c>
      <c r="N2156" s="26">
        <v>0</v>
      </c>
      <c r="O2156" s="285"/>
      <c r="P2156" s="73"/>
      <c r="Q2156" s="202">
        <v>1951</v>
      </c>
      <c r="R2156" s="210">
        <v>20</v>
      </c>
      <c r="S2156" s="205" t="s">
        <v>1557</v>
      </c>
      <c r="T2156" s="206" t="s">
        <v>773</v>
      </c>
      <c r="U2156" s="211">
        <v>0</v>
      </c>
      <c r="V2156" s="211">
        <v>0</v>
      </c>
      <c r="W2156" s="213">
        <v>0</v>
      </c>
      <c r="X2156" s="213">
        <v>0</v>
      </c>
    </row>
    <row r="2157" spans="3:24" ht="15" customHeight="1">
      <c r="C2157" s="3">
        <v>20</v>
      </c>
      <c r="D2157" s="15" t="s">
        <v>1558</v>
      </c>
      <c r="E2157" s="312" t="s">
        <v>244</v>
      </c>
      <c r="G2157" s="26">
        <v>0</v>
      </c>
      <c r="H2157" s="26">
        <v>0</v>
      </c>
      <c r="I2157" s="26">
        <v>598</v>
      </c>
      <c r="J2157" s="26">
        <v>0</v>
      </c>
      <c r="K2157" s="26">
        <v>0</v>
      </c>
      <c r="L2157" s="26">
        <v>0</v>
      </c>
      <c r="M2157" s="26">
        <v>0</v>
      </c>
      <c r="N2157" s="26">
        <v>0</v>
      </c>
      <c r="O2157" s="285"/>
      <c r="P2157" s="73"/>
      <c r="Q2157" s="202">
        <v>1952</v>
      </c>
      <c r="R2157" s="210">
        <v>20</v>
      </c>
      <c r="S2157" s="205" t="s">
        <v>1558</v>
      </c>
      <c r="T2157" s="206" t="s">
        <v>244</v>
      </c>
      <c r="U2157" s="211">
        <v>0</v>
      </c>
      <c r="V2157" s="211">
        <v>0</v>
      </c>
      <c r="W2157" s="213">
        <v>0</v>
      </c>
      <c r="X2157" s="213">
        <v>0</v>
      </c>
    </row>
    <row r="2158" spans="3:24" ht="15" customHeight="1">
      <c r="C2158" s="3">
        <v>20</v>
      </c>
      <c r="D2158" s="15" t="s">
        <v>1559</v>
      </c>
      <c r="E2158" s="312" t="s">
        <v>762</v>
      </c>
      <c r="G2158" s="26">
        <v>0</v>
      </c>
      <c r="H2158" s="26">
        <v>0</v>
      </c>
      <c r="I2158" s="26">
        <v>0</v>
      </c>
      <c r="J2158" s="26">
        <v>0</v>
      </c>
      <c r="K2158" s="26">
        <v>0</v>
      </c>
      <c r="L2158" s="26">
        <v>0</v>
      </c>
      <c r="M2158" s="26">
        <v>0</v>
      </c>
      <c r="N2158" s="26">
        <v>0</v>
      </c>
      <c r="O2158" s="285"/>
      <c r="P2158" s="73"/>
      <c r="Q2158" s="202">
        <v>1953</v>
      </c>
      <c r="R2158" s="210">
        <v>20</v>
      </c>
      <c r="S2158" s="205" t="s">
        <v>1559</v>
      </c>
      <c r="T2158" s="206" t="s">
        <v>762</v>
      </c>
      <c r="U2158" s="211">
        <v>0</v>
      </c>
      <c r="V2158" s="211">
        <v>0</v>
      </c>
      <c r="W2158" s="213">
        <v>0</v>
      </c>
      <c r="X2158" s="213">
        <v>0</v>
      </c>
    </row>
    <row r="2159" spans="3:24" ht="15" customHeight="1">
      <c r="C2159" s="3">
        <v>20</v>
      </c>
      <c r="D2159" s="15" t="s">
        <v>1560</v>
      </c>
      <c r="E2159" s="312" t="s">
        <v>1463</v>
      </c>
      <c r="G2159" s="26">
        <v>0</v>
      </c>
      <c r="H2159" s="26">
        <v>0</v>
      </c>
      <c r="I2159" s="26">
        <v>0</v>
      </c>
      <c r="J2159" s="26">
        <v>0</v>
      </c>
      <c r="K2159" s="26">
        <v>0</v>
      </c>
      <c r="L2159" s="26">
        <v>0</v>
      </c>
      <c r="M2159" s="26">
        <v>0</v>
      </c>
      <c r="N2159" s="26">
        <v>0</v>
      </c>
      <c r="O2159" s="285"/>
      <c r="P2159" s="73"/>
      <c r="Q2159" s="202">
        <v>1954</v>
      </c>
      <c r="R2159" s="210">
        <v>20</v>
      </c>
      <c r="S2159" s="205" t="s">
        <v>1560</v>
      </c>
      <c r="T2159" s="206" t="s">
        <v>1463</v>
      </c>
      <c r="U2159" s="211">
        <v>0</v>
      </c>
      <c r="V2159" s="211">
        <v>0</v>
      </c>
      <c r="W2159" s="213">
        <v>0</v>
      </c>
      <c r="X2159" s="213">
        <v>0</v>
      </c>
    </row>
    <row r="2160" spans="3:24" ht="15" customHeight="1">
      <c r="C2160" s="3">
        <v>20</v>
      </c>
      <c r="D2160" s="15" t="s">
        <v>1561</v>
      </c>
      <c r="E2160" s="312" t="s">
        <v>1019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85"/>
      <c r="P2160" s="73"/>
      <c r="Q2160" s="202">
        <v>1955</v>
      </c>
      <c r="R2160" s="210">
        <v>20</v>
      </c>
      <c r="S2160" s="205" t="s">
        <v>1561</v>
      </c>
      <c r="T2160" s="206" t="s">
        <v>1019</v>
      </c>
      <c r="U2160" s="211">
        <v>0</v>
      </c>
      <c r="V2160" s="211">
        <v>0</v>
      </c>
      <c r="W2160" s="213">
        <v>0</v>
      </c>
      <c r="X2160" s="213">
        <v>0</v>
      </c>
    </row>
    <row r="2161" spans="1:24" ht="15" customHeight="1">
      <c r="C2161" s="3">
        <v>20</v>
      </c>
      <c r="D2161" s="15" t="s">
        <v>1562</v>
      </c>
      <c r="E2161" s="312" t="s">
        <v>1563</v>
      </c>
      <c r="G2161" s="26">
        <v>3253</v>
      </c>
      <c r="H2161" s="26">
        <v>2451</v>
      </c>
      <c r="I2161" s="26">
        <v>2547</v>
      </c>
      <c r="J2161" s="26">
        <v>777</v>
      </c>
      <c r="K2161" s="26">
        <v>4500</v>
      </c>
      <c r="L2161" s="26">
        <v>2318</v>
      </c>
      <c r="M2161" s="26">
        <v>2500</v>
      </c>
      <c r="N2161" s="26">
        <v>2500</v>
      </c>
      <c r="O2161" s="285" t="s">
        <v>2846</v>
      </c>
      <c r="P2161" s="73"/>
      <c r="Q2161" s="202">
        <v>1956</v>
      </c>
      <c r="R2161" s="210">
        <v>20</v>
      </c>
      <c r="S2161" s="205" t="s">
        <v>1562</v>
      </c>
      <c r="T2161" s="206" t="s">
        <v>1563</v>
      </c>
      <c r="U2161" s="211">
        <v>4500</v>
      </c>
      <c r="V2161" s="211">
        <v>0</v>
      </c>
      <c r="W2161" s="213">
        <v>2318.2399999999998</v>
      </c>
      <c r="X2161" s="213">
        <v>51.52</v>
      </c>
    </row>
    <row r="2162" spans="1:24" ht="15" customHeight="1">
      <c r="G2162" s="26"/>
      <c r="H2162" s="26"/>
      <c r="I2162" s="26"/>
      <c r="J2162" s="26"/>
      <c r="K2162" s="26"/>
      <c r="L2162" s="26"/>
      <c r="M2162" s="26"/>
      <c r="N2162" s="26"/>
      <c r="P2162" s="73"/>
      <c r="Q2162" s="202">
        <v>1957</v>
      </c>
      <c r="R2162" s="210">
        <v>20</v>
      </c>
      <c r="S2162" s="205" t="s">
        <v>2623</v>
      </c>
      <c r="T2162" s="206"/>
      <c r="U2162" s="211"/>
      <c r="V2162" s="211"/>
      <c r="W2162" s="213"/>
      <c r="X2162" s="213"/>
    </row>
    <row r="2163" spans="1:24" s="23" customFormat="1" ht="15" customHeight="1">
      <c r="A2163" s="5" t="s">
        <v>163</v>
      </c>
      <c r="B2163" s="62" t="s">
        <v>2317</v>
      </c>
      <c r="C2163" s="3"/>
      <c r="D2163" s="323" t="s">
        <v>3090</v>
      </c>
      <c r="E2163" s="323"/>
      <c r="F2163" s="324"/>
      <c r="G2163" s="325">
        <f>SUM(G2140:G2162)</f>
        <v>37116</v>
      </c>
      <c r="H2163" s="325">
        <f t="shared" ref="H2163:N2163" si="175">SUM(H2140:H2162)</f>
        <v>57171</v>
      </c>
      <c r="I2163" s="325">
        <f t="shared" si="175"/>
        <v>50375</v>
      </c>
      <c r="J2163" s="325">
        <f t="shared" si="175"/>
        <v>42111</v>
      </c>
      <c r="K2163" s="325">
        <f t="shared" si="175"/>
        <v>52580</v>
      </c>
      <c r="L2163" s="325">
        <f t="shared" si="175"/>
        <v>20309</v>
      </c>
      <c r="M2163" s="325">
        <f t="shared" si="175"/>
        <v>33341</v>
      </c>
      <c r="N2163" s="325">
        <f t="shared" si="175"/>
        <v>46165</v>
      </c>
      <c r="O2163" s="291"/>
      <c r="P2163" s="78"/>
      <c r="Q2163" s="202">
        <v>1958</v>
      </c>
      <c r="R2163" s="210">
        <v>20</v>
      </c>
      <c r="S2163" s="205" t="s">
        <v>163</v>
      </c>
      <c r="T2163" s="206"/>
      <c r="U2163" s="211">
        <v>52580</v>
      </c>
      <c r="V2163" s="211">
        <v>13741.32</v>
      </c>
      <c r="W2163" s="213">
        <v>34050.35</v>
      </c>
      <c r="X2163" s="213">
        <v>0</v>
      </c>
    </row>
    <row r="2164" spans="1:24" s="46" customFormat="1" ht="15" customHeight="1">
      <c r="B2164" s="14"/>
      <c r="C2164" s="3"/>
      <c r="D2164" s="47"/>
      <c r="E2164" s="47"/>
      <c r="F2164" s="191"/>
      <c r="G2164" s="48"/>
      <c r="H2164" s="48"/>
      <c r="I2164" s="48"/>
      <c r="J2164" s="48"/>
      <c r="K2164" s="48"/>
      <c r="L2164" s="48"/>
      <c r="M2164" s="48"/>
      <c r="N2164" s="48"/>
      <c r="O2164" s="289"/>
      <c r="P2164" s="84"/>
      <c r="Q2164" s="202">
        <v>1959</v>
      </c>
      <c r="R2164" s="210">
        <v>20</v>
      </c>
      <c r="S2164" s="205" t="s">
        <v>245</v>
      </c>
      <c r="T2164" s="206"/>
      <c r="U2164" s="211"/>
      <c r="V2164" s="211"/>
      <c r="W2164" s="213"/>
      <c r="X2164" s="213"/>
    </row>
    <row r="2165" spans="1:24" ht="15" customHeight="1">
      <c r="D2165" s="47" t="s">
        <v>2345</v>
      </c>
      <c r="G2165" s="26"/>
      <c r="H2165" s="26"/>
      <c r="I2165" s="26"/>
      <c r="J2165" s="26"/>
      <c r="K2165" s="26"/>
      <c r="L2165" s="26"/>
      <c r="M2165" s="26"/>
      <c r="N2165" s="26"/>
      <c r="P2165" s="83"/>
      <c r="Q2165" s="202">
        <v>1960</v>
      </c>
      <c r="R2165" s="210">
        <v>20</v>
      </c>
      <c r="S2165" s="205" t="s">
        <v>2628</v>
      </c>
      <c r="T2165" s="206"/>
      <c r="U2165" s="211"/>
      <c r="V2165" s="211"/>
      <c r="W2165" s="213"/>
      <c r="X2165" s="213"/>
    </row>
    <row r="2166" spans="1:24" ht="15" customHeight="1">
      <c r="G2166" s="26"/>
      <c r="H2166" s="26"/>
      <c r="I2166" s="26"/>
      <c r="J2166" s="26"/>
      <c r="K2166" s="26"/>
      <c r="L2166" s="26"/>
      <c r="M2166" s="26"/>
      <c r="N2166" s="26"/>
      <c r="P2166" s="78"/>
    </row>
    <row r="2167" spans="1:24" ht="15" customHeight="1">
      <c r="C2167" s="3">
        <v>20</v>
      </c>
      <c r="D2167" s="15" t="s">
        <v>1564</v>
      </c>
      <c r="E2167" s="312" t="s">
        <v>1546</v>
      </c>
      <c r="G2167" s="26">
        <v>0</v>
      </c>
      <c r="H2167" s="26">
        <v>0</v>
      </c>
      <c r="I2167" s="26">
        <v>0</v>
      </c>
      <c r="J2167" s="26">
        <v>0</v>
      </c>
      <c r="K2167" s="26">
        <v>0</v>
      </c>
      <c r="L2167" s="26">
        <v>0</v>
      </c>
      <c r="M2167" s="26">
        <v>0</v>
      </c>
      <c r="N2167" s="26">
        <v>0</v>
      </c>
      <c r="O2167" s="285"/>
      <c r="P2167" s="74"/>
      <c r="Q2167" s="202">
        <v>1961</v>
      </c>
      <c r="R2167" s="210">
        <v>20</v>
      </c>
      <c r="S2167" s="205" t="s">
        <v>1564</v>
      </c>
      <c r="T2167" s="206" t="s">
        <v>1546</v>
      </c>
      <c r="U2167" s="211">
        <v>0</v>
      </c>
      <c r="V2167" s="211">
        <v>0</v>
      </c>
      <c r="W2167" s="213">
        <v>0</v>
      </c>
      <c r="X2167" s="213">
        <v>0</v>
      </c>
    </row>
    <row r="2168" spans="1:24" ht="15" customHeight="1">
      <c r="C2168" s="3">
        <v>20</v>
      </c>
      <c r="D2168" s="15" t="s">
        <v>1565</v>
      </c>
      <c r="E2168" s="312" t="s">
        <v>329</v>
      </c>
      <c r="G2168" s="26">
        <v>0</v>
      </c>
      <c r="H2168" s="26">
        <v>0</v>
      </c>
      <c r="I2168" s="26">
        <v>0</v>
      </c>
      <c r="J2168" s="26">
        <v>0</v>
      </c>
      <c r="K2168" s="26">
        <v>0</v>
      </c>
      <c r="L2168" s="26">
        <v>0</v>
      </c>
      <c r="M2168" s="26">
        <v>0</v>
      </c>
      <c r="N2168" s="26">
        <v>0</v>
      </c>
      <c r="O2168" s="285"/>
      <c r="P2168" s="73"/>
      <c r="Q2168" s="202">
        <v>1962</v>
      </c>
      <c r="R2168" s="210">
        <v>20</v>
      </c>
      <c r="S2168" s="205" t="s">
        <v>1565</v>
      </c>
      <c r="T2168" s="206" t="s">
        <v>329</v>
      </c>
      <c r="U2168" s="211">
        <v>0</v>
      </c>
      <c r="V2168" s="211">
        <v>0</v>
      </c>
      <c r="W2168" s="213">
        <v>0</v>
      </c>
      <c r="X2168" s="213">
        <v>0</v>
      </c>
    </row>
    <row r="2169" spans="1:24" ht="15" customHeight="1">
      <c r="C2169" s="3">
        <v>20</v>
      </c>
      <c r="D2169" s="15" t="s">
        <v>1566</v>
      </c>
      <c r="E2169" s="312" t="s">
        <v>165</v>
      </c>
      <c r="G2169" s="26">
        <v>0</v>
      </c>
      <c r="H2169" s="26">
        <v>0</v>
      </c>
      <c r="I2169" s="26">
        <v>17647</v>
      </c>
      <c r="J2169" s="26">
        <v>-13268</v>
      </c>
      <c r="K2169" s="26">
        <v>0</v>
      </c>
      <c r="L2169" s="26">
        <v>0</v>
      </c>
      <c r="M2169" s="26">
        <v>0</v>
      </c>
      <c r="N2169" s="26">
        <v>0</v>
      </c>
      <c r="O2169" s="285"/>
      <c r="P2169" s="73"/>
      <c r="Q2169" s="202">
        <v>1963</v>
      </c>
      <c r="R2169" s="210">
        <v>20</v>
      </c>
      <c r="S2169" s="205" t="s">
        <v>1566</v>
      </c>
      <c r="T2169" s="206" t="s">
        <v>165</v>
      </c>
      <c r="U2169" s="211">
        <v>0</v>
      </c>
      <c r="V2169" s="211">
        <v>0</v>
      </c>
      <c r="W2169" s="213">
        <v>0</v>
      </c>
      <c r="X2169" s="213">
        <v>0</v>
      </c>
    </row>
    <row r="2170" spans="1:24" ht="15" customHeight="1">
      <c r="C2170" s="3">
        <v>20</v>
      </c>
      <c r="D2170" s="15" t="s">
        <v>1567</v>
      </c>
      <c r="E2170" s="312" t="s">
        <v>167</v>
      </c>
      <c r="G2170" s="26">
        <v>0</v>
      </c>
      <c r="H2170" s="26">
        <v>0</v>
      </c>
      <c r="I2170" s="26">
        <v>0</v>
      </c>
      <c r="J2170" s="26">
        <v>0</v>
      </c>
      <c r="K2170" s="26">
        <v>0</v>
      </c>
      <c r="L2170" s="26">
        <v>0</v>
      </c>
      <c r="M2170" s="26">
        <v>0</v>
      </c>
      <c r="N2170" s="26">
        <v>0</v>
      </c>
      <c r="O2170" s="285"/>
      <c r="P2170" s="73"/>
      <c r="Q2170" s="202">
        <v>1964</v>
      </c>
      <c r="R2170" s="210">
        <v>20</v>
      </c>
      <c r="S2170" s="205" t="s">
        <v>1567</v>
      </c>
      <c r="T2170" s="206" t="s">
        <v>167</v>
      </c>
      <c r="U2170" s="211">
        <v>0</v>
      </c>
      <c r="V2170" s="211">
        <v>0</v>
      </c>
      <c r="W2170" s="213">
        <v>0</v>
      </c>
      <c r="X2170" s="213">
        <v>0</v>
      </c>
    </row>
    <row r="2171" spans="1:24" ht="15" customHeight="1">
      <c r="C2171" s="3">
        <v>20</v>
      </c>
      <c r="D2171" s="15" t="s">
        <v>1568</v>
      </c>
      <c r="E2171" s="312" t="s">
        <v>247</v>
      </c>
      <c r="G2171" s="26">
        <v>15413</v>
      </c>
      <c r="H2171" s="26">
        <v>0</v>
      </c>
      <c r="I2171" s="26">
        <v>0</v>
      </c>
      <c r="J2171" s="26">
        <v>0</v>
      </c>
      <c r="K2171" s="26">
        <v>0</v>
      </c>
      <c r="L2171" s="26">
        <v>6930</v>
      </c>
      <c r="M2171" s="26">
        <v>0</v>
      </c>
      <c r="N2171" s="26">
        <v>0</v>
      </c>
      <c r="O2171" s="285"/>
      <c r="P2171" s="73"/>
      <c r="Q2171" s="202">
        <v>1965</v>
      </c>
      <c r="R2171" s="210">
        <v>20</v>
      </c>
      <c r="S2171" s="205" t="s">
        <v>1568</v>
      </c>
      <c r="T2171" s="206" t="s">
        <v>247</v>
      </c>
      <c r="U2171" s="211">
        <v>0</v>
      </c>
      <c r="V2171" s="211">
        <v>0</v>
      </c>
      <c r="W2171" s="213">
        <v>6930</v>
      </c>
      <c r="X2171" s="213">
        <v>0</v>
      </c>
    </row>
    <row r="2172" spans="1:24" ht="15" customHeight="1">
      <c r="C2172" s="3">
        <v>20</v>
      </c>
      <c r="D2172" s="15" t="s">
        <v>1569</v>
      </c>
      <c r="E2172" s="312" t="s">
        <v>382</v>
      </c>
      <c r="G2172" s="26">
        <v>-54761</v>
      </c>
      <c r="H2172" s="26">
        <v>0</v>
      </c>
      <c r="I2172" s="26">
        <v>0</v>
      </c>
      <c r="J2172" s="26">
        <v>0</v>
      </c>
      <c r="K2172" s="26">
        <v>6000</v>
      </c>
      <c r="L2172" s="26">
        <v>23395</v>
      </c>
      <c r="M2172" s="26">
        <v>0</v>
      </c>
      <c r="N2172" s="26">
        <v>0</v>
      </c>
      <c r="O2172" s="285"/>
      <c r="P2172" s="73"/>
      <c r="Q2172" s="202">
        <v>1966</v>
      </c>
      <c r="R2172" s="210">
        <v>20</v>
      </c>
      <c r="S2172" s="205" t="s">
        <v>1569</v>
      </c>
      <c r="T2172" s="206" t="s">
        <v>382</v>
      </c>
      <c r="U2172" s="211">
        <v>6000</v>
      </c>
      <c r="V2172" s="211">
        <v>0</v>
      </c>
      <c r="W2172" s="213">
        <v>23395</v>
      </c>
      <c r="X2172" s="213">
        <v>389.92</v>
      </c>
    </row>
    <row r="2173" spans="1:24" ht="15" customHeight="1">
      <c r="C2173" s="3">
        <v>20</v>
      </c>
      <c r="D2173" s="15" t="s">
        <v>1570</v>
      </c>
      <c r="E2173" s="312" t="s">
        <v>173</v>
      </c>
      <c r="G2173" s="26">
        <v>78646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85"/>
      <c r="P2173" s="73"/>
      <c r="Q2173" s="202">
        <v>1967</v>
      </c>
      <c r="R2173" s="210">
        <v>20</v>
      </c>
      <c r="S2173" s="205" t="s">
        <v>1570</v>
      </c>
      <c r="T2173" s="206" t="s">
        <v>173</v>
      </c>
      <c r="U2173" s="211">
        <v>0</v>
      </c>
      <c r="V2173" s="211">
        <v>0</v>
      </c>
      <c r="W2173" s="213">
        <v>0</v>
      </c>
      <c r="X2173" s="213">
        <v>0</v>
      </c>
    </row>
    <row r="2174" spans="1:24" ht="15" customHeight="1">
      <c r="C2174" s="3">
        <v>20</v>
      </c>
      <c r="D2174" s="15" t="s">
        <v>1571</v>
      </c>
      <c r="E2174" s="312" t="s">
        <v>773</v>
      </c>
      <c r="G2174" s="26">
        <v>0</v>
      </c>
      <c r="H2174" s="26">
        <v>0</v>
      </c>
      <c r="I2174" s="26">
        <v>0</v>
      </c>
      <c r="J2174" s="26">
        <v>0</v>
      </c>
      <c r="K2174" s="26">
        <v>0</v>
      </c>
      <c r="L2174" s="26">
        <v>0</v>
      </c>
      <c r="M2174" s="26">
        <v>0</v>
      </c>
      <c r="N2174" s="26">
        <v>0</v>
      </c>
      <c r="O2174" s="285"/>
      <c r="P2174" s="73"/>
      <c r="Q2174" s="202">
        <v>1968</v>
      </c>
      <c r="R2174" s="210">
        <v>20</v>
      </c>
      <c r="S2174" s="205" t="s">
        <v>1571</v>
      </c>
      <c r="T2174" s="206" t="s">
        <v>773</v>
      </c>
      <c r="U2174" s="211">
        <v>0</v>
      </c>
      <c r="V2174" s="211">
        <v>0</v>
      </c>
      <c r="W2174" s="213">
        <v>0</v>
      </c>
      <c r="X2174" s="213">
        <v>0</v>
      </c>
    </row>
    <row r="2175" spans="1:24" ht="15" customHeight="1">
      <c r="C2175" s="3">
        <v>20</v>
      </c>
      <c r="D2175" s="15" t="s">
        <v>1572</v>
      </c>
      <c r="E2175" s="312" t="s">
        <v>244</v>
      </c>
      <c r="G2175" s="26">
        <v>0</v>
      </c>
      <c r="H2175" s="26">
        <v>0</v>
      </c>
      <c r="I2175" s="26">
        <v>0</v>
      </c>
      <c r="J2175" s="26">
        <v>0</v>
      </c>
      <c r="K2175" s="26">
        <v>0</v>
      </c>
      <c r="L2175" s="26">
        <v>0</v>
      </c>
      <c r="M2175" s="26">
        <v>0</v>
      </c>
      <c r="N2175" s="26">
        <v>0</v>
      </c>
      <c r="O2175" s="285"/>
      <c r="P2175" s="73"/>
      <c r="Q2175" s="202">
        <v>1969</v>
      </c>
      <c r="R2175" s="210">
        <v>20</v>
      </c>
      <c r="S2175" s="205" t="s">
        <v>1572</v>
      </c>
      <c r="T2175" s="206" t="s">
        <v>244</v>
      </c>
      <c r="U2175" s="211">
        <v>0</v>
      </c>
      <c r="V2175" s="211">
        <v>0</v>
      </c>
      <c r="W2175" s="213">
        <v>0</v>
      </c>
      <c r="X2175" s="213">
        <v>0</v>
      </c>
    </row>
    <row r="2176" spans="1:24" ht="15" customHeight="1">
      <c r="C2176" s="3">
        <v>20</v>
      </c>
      <c r="D2176" s="15" t="s">
        <v>1573</v>
      </c>
      <c r="E2176" s="312" t="s">
        <v>762</v>
      </c>
      <c r="G2176" s="26">
        <v>0</v>
      </c>
      <c r="H2176" s="26">
        <v>0</v>
      </c>
      <c r="I2176" s="26">
        <v>0</v>
      </c>
      <c r="J2176" s="26">
        <v>0</v>
      </c>
      <c r="K2176" s="26">
        <v>0</v>
      </c>
      <c r="L2176" s="26">
        <v>0</v>
      </c>
      <c r="M2176" s="26">
        <v>0</v>
      </c>
      <c r="N2176" s="26">
        <v>0</v>
      </c>
      <c r="O2176" s="285"/>
      <c r="P2176" s="73"/>
      <c r="Q2176" s="202">
        <v>1970</v>
      </c>
      <c r="R2176" s="210">
        <v>20</v>
      </c>
      <c r="S2176" s="205" t="s">
        <v>1573</v>
      </c>
      <c r="T2176" s="206" t="s">
        <v>762</v>
      </c>
      <c r="U2176" s="211">
        <v>0</v>
      </c>
      <c r="V2176" s="211">
        <v>0</v>
      </c>
      <c r="W2176" s="213">
        <v>0</v>
      </c>
      <c r="X2176" s="213">
        <v>0</v>
      </c>
    </row>
    <row r="2177" spans="1:24" ht="15" customHeight="1">
      <c r="C2177" s="3">
        <v>20</v>
      </c>
      <c r="D2177" s="15" t="s">
        <v>1574</v>
      </c>
      <c r="E2177" s="312" t="s">
        <v>1019</v>
      </c>
      <c r="G2177" s="26">
        <v>0</v>
      </c>
      <c r="H2177" s="26">
        <v>0</v>
      </c>
      <c r="I2177" s="26">
        <v>0</v>
      </c>
      <c r="J2177" s="26">
        <v>0</v>
      </c>
      <c r="K2177" s="26">
        <v>0</v>
      </c>
      <c r="L2177" s="26">
        <v>0</v>
      </c>
      <c r="M2177" s="26">
        <v>0</v>
      </c>
      <c r="N2177" s="26">
        <v>0</v>
      </c>
      <c r="O2177" s="285"/>
      <c r="P2177" s="73"/>
      <c r="Q2177" s="202">
        <v>1971</v>
      </c>
      <c r="R2177" s="210">
        <v>20</v>
      </c>
      <c r="S2177" s="205" t="s">
        <v>1574</v>
      </c>
      <c r="T2177" s="206" t="s">
        <v>1019</v>
      </c>
      <c r="U2177" s="211">
        <v>0</v>
      </c>
      <c r="V2177" s="211">
        <v>0</v>
      </c>
      <c r="W2177" s="213">
        <v>0</v>
      </c>
      <c r="X2177" s="213">
        <v>0</v>
      </c>
    </row>
    <row r="2178" spans="1:24" ht="15" customHeight="1">
      <c r="G2178" s="26"/>
      <c r="H2178" s="26"/>
      <c r="I2178" s="26"/>
      <c r="J2178" s="26"/>
      <c r="K2178" s="26"/>
      <c r="L2178" s="26"/>
      <c r="M2178" s="26"/>
      <c r="N2178" s="26"/>
      <c r="P2178" s="73"/>
      <c r="Q2178" s="202">
        <v>1972</v>
      </c>
      <c r="R2178" s="210">
        <v>20</v>
      </c>
      <c r="S2178" s="205" t="s">
        <v>2623</v>
      </c>
      <c r="T2178" s="206"/>
      <c r="U2178" s="211"/>
      <c r="V2178" s="211"/>
      <c r="W2178" s="213"/>
      <c r="X2178" s="213"/>
    </row>
    <row r="2179" spans="1:24" s="24" customFormat="1" ht="15" customHeight="1">
      <c r="A2179" s="5" t="s">
        <v>245</v>
      </c>
      <c r="B2179" s="62" t="s">
        <v>2317</v>
      </c>
      <c r="C2179" s="3"/>
      <c r="D2179" s="323" t="s">
        <v>3091</v>
      </c>
      <c r="E2179" s="323"/>
      <c r="F2179" s="324"/>
      <c r="G2179" s="325">
        <f>SUM(G2165:G2178)</f>
        <v>39298</v>
      </c>
      <c r="H2179" s="325">
        <f t="shared" ref="H2179:N2179" si="176">SUM(H2165:H2178)</f>
        <v>0</v>
      </c>
      <c r="I2179" s="325">
        <f t="shared" si="176"/>
        <v>17647</v>
      </c>
      <c r="J2179" s="325">
        <f t="shared" si="176"/>
        <v>-13268</v>
      </c>
      <c r="K2179" s="325">
        <f t="shared" si="176"/>
        <v>6000</v>
      </c>
      <c r="L2179" s="325">
        <f t="shared" si="176"/>
        <v>30325</v>
      </c>
      <c r="M2179" s="325">
        <f t="shared" si="176"/>
        <v>0</v>
      </c>
      <c r="N2179" s="325">
        <f t="shared" si="176"/>
        <v>0</v>
      </c>
      <c r="O2179" s="292"/>
      <c r="P2179" s="73"/>
      <c r="Q2179" s="202">
        <v>1973</v>
      </c>
      <c r="R2179" s="210">
        <v>20</v>
      </c>
      <c r="S2179" s="205" t="s">
        <v>245</v>
      </c>
      <c r="T2179" s="206"/>
      <c r="U2179" s="211">
        <v>6000</v>
      </c>
      <c r="V2179" s="211">
        <v>0</v>
      </c>
      <c r="W2179" s="213">
        <v>30325</v>
      </c>
      <c r="X2179" s="213">
        <v>0</v>
      </c>
    </row>
    <row r="2180" spans="1:24" ht="15" customHeight="1">
      <c r="G2180" s="26"/>
      <c r="H2180" s="26"/>
      <c r="I2180" s="26"/>
      <c r="J2180" s="26"/>
      <c r="K2180" s="26"/>
      <c r="L2180" s="26"/>
      <c r="M2180" s="26"/>
      <c r="N2180" s="26"/>
      <c r="P2180" s="73"/>
      <c r="Q2180" s="202">
        <v>1974</v>
      </c>
      <c r="R2180" s="210">
        <v>20</v>
      </c>
      <c r="S2180" s="205" t="s">
        <v>2623</v>
      </c>
      <c r="T2180" s="206"/>
      <c r="U2180" s="211"/>
      <c r="V2180" s="211"/>
      <c r="W2180" s="213"/>
      <c r="X2180" s="213"/>
    </row>
    <row r="2181" spans="1:24" s="43" customFormat="1" ht="15" customHeight="1" thickBot="1">
      <c r="B2181" s="43" t="s">
        <v>2317</v>
      </c>
      <c r="C2181" s="3"/>
      <c r="D2181" s="68" t="s">
        <v>2002</v>
      </c>
      <c r="E2181" s="326"/>
      <c r="F2181" s="327"/>
      <c r="G2181" s="328">
        <f t="shared" ref="G2181:N2181" si="177">+G2179+G2163+G2138+G2114+G2090</f>
        <v>669131</v>
      </c>
      <c r="H2181" s="328">
        <f t="shared" si="177"/>
        <v>967477</v>
      </c>
      <c r="I2181" s="328">
        <f t="shared" si="177"/>
        <v>988081</v>
      </c>
      <c r="J2181" s="328">
        <f t="shared" si="177"/>
        <v>927068</v>
      </c>
      <c r="K2181" s="328">
        <f t="shared" si="177"/>
        <v>947701</v>
      </c>
      <c r="L2181" s="328">
        <f t="shared" si="177"/>
        <v>554936</v>
      </c>
      <c r="M2181" s="328">
        <f t="shared" si="177"/>
        <v>898804.83000000007</v>
      </c>
      <c r="N2181" s="328">
        <f t="shared" si="177"/>
        <v>990580</v>
      </c>
      <c r="O2181" s="288"/>
      <c r="P2181" s="73"/>
      <c r="Q2181" s="202">
        <v>1975</v>
      </c>
      <c r="R2181" s="210">
        <v>20</v>
      </c>
      <c r="S2181" s="205" t="s">
        <v>2632</v>
      </c>
      <c r="T2181" s="206"/>
      <c r="U2181" s="211">
        <v>947701</v>
      </c>
      <c r="V2181" s="211">
        <v>89087.62</v>
      </c>
      <c r="W2181" s="213">
        <v>644020.97</v>
      </c>
      <c r="X2181" s="213">
        <v>67.959999999999994</v>
      </c>
    </row>
    <row r="2182" spans="1:24" s="45" customFormat="1" ht="15" customHeight="1" thickTop="1">
      <c r="C2182" s="3"/>
      <c r="D2182" s="47"/>
      <c r="E2182" s="15"/>
      <c r="F2182" s="105"/>
      <c r="G2182" s="26"/>
      <c r="H2182" s="26"/>
      <c r="I2182" s="26"/>
      <c r="J2182" s="26"/>
      <c r="K2182" s="26"/>
      <c r="L2182" s="26"/>
      <c r="M2182" s="26"/>
      <c r="N2182" s="26"/>
      <c r="O2182" s="275"/>
      <c r="P2182" s="73"/>
      <c r="Q2182" s="202">
        <v>1976</v>
      </c>
      <c r="R2182" s="210">
        <v>20</v>
      </c>
      <c r="S2182" s="205" t="s">
        <v>2621</v>
      </c>
      <c r="T2182" s="206"/>
      <c r="U2182" s="211"/>
      <c r="V2182" s="211"/>
      <c r="W2182" s="213"/>
      <c r="X2182" s="213"/>
    </row>
    <row r="2183" spans="1:24" s="45" customFormat="1" ht="15" customHeight="1">
      <c r="C2183" s="3"/>
      <c r="D2183" s="47" t="s">
        <v>1310</v>
      </c>
      <c r="E2183" s="15"/>
      <c r="F2183" s="105"/>
      <c r="G2183" s="26"/>
      <c r="H2183" s="26"/>
      <c r="I2183" s="26"/>
      <c r="J2183" s="26"/>
      <c r="K2183" s="26"/>
      <c r="L2183" s="26"/>
      <c r="M2183" s="26"/>
      <c r="N2183" s="26"/>
      <c r="O2183" s="275"/>
      <c r="P2183" s="73"/>
      <c r="Q2183" s="202">
        <v>1977</v>
      </c>
      <c r="R2183" s="210">
        <v>20</v>
      </c>
      <c r="S2183" s="205" t="s">
        <v>2622</v>
      </c>
      <c r="T2183" s="206"/>
      <c r="U2183" s="211"/>
      <c r="V2183" s="211"/>
      <c r="W2183" s="213"/>
      <c r="X2183" s="213"/>
    </row>
    <row r="2184" spans="1:24" s="45" customFormat="1" ht="15" customHeight="1">
      <c r="C2184" s="3"/>
      <c r="D2184" s="47"/>
      <c r="E2184" s="15"/>
      <c r="F2184" s="105"/>
      <c r="G2184" s="26"/>
      <c r="H2184" s="26"/>
      <c r="I2184" s="26"/>
      <c r="J2184" s="26"/>
      <c r="K2184" s="26"/>
      <c r="L2184" s="26"/>
      <c r="M2184" s="26"/>
      <c r="N2184" s="26"/>
      <c r="O2184" s="275"/>
      <c r="P2184" s="73"/>
    </row>
    <row r="2185" spans="1:24" s="5" customFormat="1" ht="15" customHeight="1">
      <c r="C2185" s="3"/>
      <c r="D2185" s="47" t="s">
        <v>2346</v>
      </c>
      <c r="E2185" s="15"/>
      <c r="F2185" s="105"/>
      <c r="G2185" s="26"/>
      <c r="H2185" s="26"/>
      <c r="I2185" s="26"/>
      <c r="J2185" s="26"/>
      <c r="K2185" s="26"/>
      <c r="L2185" s="26"/>
      <c r="M2185" s="26"/>
      <c r="N2185" s="26"/>
      <c r="O2185" s="282"/>
      <c r="P2185" s="73"/>
    </row>
    <row r="2186" spans="1:24" ht="15" customHeight="1">
      <c r="G2186" s="26"/>
      <c r="H2186" s="26"/>
      <c r="I2186" s="26"/>
      <c r="J2186" s="26"/>
      <c r="K2186" s="26"/>
      <c r="L2186" s="26"/>
      <c r="M2186" s="26"/>
      <c r="N2186" s="26"/>
      <c r="P2186" s="73"/>
    </row>
    <row r="2187" spans="1:24" ht="15" customHeight="1">
      <c r="C2187" s="3">
        <v>20</v>
      </c>
      <c r="D2187" s="15" t="s">
        <v>1575</v>
      </c>
      <c r="E2187" s="312" t="s">
        <v>79</v>
      </c>
      <c r="G2187" s="26">
        <v>0</v>
      </c>
      <c r="H2187" s="26">
        <v>0</v>
      </c>
      <c r="I2187" s="26">
        <v>0</v>
      </c>
      <c r="J2187" s="26">
        <v>0</v>
      </c>
      <c r="K2187" s="26">
        <v>0</v>
      </c>
      <c r="L2187" s="26">
        <v>0</v>
      </c>
      <c r="M2187" s="26">
        <v>0</v>
      </c>
      <c r="N2187" s="26">
        <v>0</v>
      </c>
      <c r="P2187" s="73"/>
      <c r="Q2187" s="202">
        <v>1978</v>
      </c>
      <c r="R2187" s="210">
        <v>20</v>
      </c>
      <c r="S2187" s="205" t="s">
        <v>1575</v>
      </c>
      <c r="T2187" s="206" t="s">
        <v>79</v>
      </c>
      <c r="U2187" s="211">
        <v>0</v>
      </c>
      <c r="V2187" s="211">
        <v>0</v>
      </c>
      <c r="W2187" s="213">
        <v>0</v>
      </c>
      <c r="X2187" s="213">
        <v>0</v>
      </c>
    </row>
    <row r="2188" spans="1:24" ht="15" customHeight="1">
      <c r="C2188" s="3">
        <v>20</v>
      </c>
      <c r="D2188" s="15" t="s">
        <v>1576</v>
      </c>
      <c r="E2188" s="312" t="s">
        <v>81</v>
      </c>
      <c r="G2188" s="26">
        <v>0</v>
      </c>
      <c r="H2188" s="26">
        <v>0</v>
      </c>
      <c r="I2188" s="26">
        <v>0</v>
      </c>
      <c r="J2188" s="26">
        <v>0</v>
      </c>
      <c r="K2188" s="26">
        <v>0</v>
      </c>
      <c r="L2188" s="26">
        <v>0</v>
      </c>
      <c r="M2188" s="26">
        <v>0</v>
      </c>
      <c r="N2188" s="26">
        <v>0</v>
      </c>
      <c r="P2188" s="73"/>
      <c r="Q2188" s="202">
        <v>1979</v>
      </c>
      <c r="R2188" s="210">
        <v>20</v>
      </c>
      <c r="S2188" s="205" t="s">
        <v>1576</v>
      </c>
      <c r="T2188" s="206" t="s">
        <v>81</v>
      </c>
      <c r="U2188" s="211">
        <v>0</v>
      </c>
      <c r="V2188" s="211">
        <v>0</v>
      </c>
      <c r="W2188" s="213">
        <v>0</v>
      </c>
      <c r="X2188" s="213">
        <v>0</v>
      </c>
    </row>
    <row r="2189" spans="1:24" ht="15" customHeight="1">
      <c r="C2189" s="3">
        <v>20</v>
      </c>
      <c r="D2189" s="15" t="s">
        <v>1577</v>
      </c>
      <c r="E2189" s="312" t="s">
        <v>83</v>
      </c>
      <c r="G2189" s="26">
        <v>0</v>
      </c>
      <c r="H2189" s="26">
        <v>0</v>
      </c>
      <c r="I2189" s="26">
        <v>0</v>
      </c>
      <c r="J2189" s="26">
        <v>0</v>
      </c>
      <c r="K2189" s="26">
        <v>0</v>
      </c>
      <c r="L2189" s="26">
        <v>0</v>
      </c>
      <c r="M2189" s="26">
        <v>0</v>
      </c>
      <c r="N2189" s="26">
        <v>0</v>
      </c>
      <c r="P2189" s="73"/>
      <c r="Q2189" s="202">
        <v>1980</v>
      </c>
      <c r="R2189" s="210">
        <v>20</v>
      </c>
      <c r="S2189" s="205" t="s">
        <v>1577</v>
      </c>
      <c r="T2189" s="206" t="s">
        <v>83</v>
      </c>
      <c r="U2189" s="211">
        <v>0</v>
      </c>
      <c r="V2189" s="211">
        <v>0</v>
      </c>
      <c r="W2189" s="213">
        <v>0</v>
      </c>
      <c r="X2189" s="213">
        <v>0</v>
      </c>
    </row>
    <row r="2190" spans="1:24" ht="15" customHeight="1">
      <c r="C2190" s="3">
        <v>20</v>
      </c>
      <c r="D2190" s="15" t="s">
        <v>1578</v>
      </c>
      <c r="E2190" s="312" t="s">
        <v>85</v>
      </c>
      <c r="G2190" s="26">
        <v>0</v>
      </c>
      <c r="H2190" s="26">
        <v>0</v>
      </c>
      <c r="I2190" s="26">
        <v>0</v>
      </c>
      <c r="J2190" s="26">
        <v>0</v>
      </c>
      <c r="K2190" s="26">
        <v>0</v>
      </c>
      <c r="L2190" s="26">
        <v>0</v>
      </c>
      <c r="M2190" s="26">
        <v>0</v>
      </c>
      <c r="N2190" s="26">
        <v>0</v>
      </c>
      <c r="P2190" s="73"/>
      <c r="Q2190" s="202">
        <v>1981</v>
      </c>
      <c r="R2190" s="210">
        <v>20</v>
      </c>
      <c r="S2190" s="205" t="s">
        <v>1578</v>
      </c>
      <c r="T2190" s="206" t="s">
        <v>85</v>
      </c>
      <c r="U2190" s="211">
        <v>0</v>
      </c>
      <c r="V2190" s="211">
        <v>0</v>
      </c>
      <c r="W2190" s="213">
        <v>0</v>
      </c>
      <c r="X2190" s="213">
        <v>0</v>
      </c>
    </row>
    <row r="2191" spans="1:24" ht="15" customHeight="1">
      <c r="C2191" s="3">
        <v>20</v>
      </c>
      <c r="D2191" s="15" t="s">
        <v>1579</v>
      </c>
      <c r="E2191" s="312" t="s">
        <v>87</v>
      </c>
      <c r="G2191" s="26">
        <v>0</v>
      </c>
      <c r="H2191" s="26">
        <v>0</v>
      </c>
      <c r="I2191" s="26">
        <v>0</v>
      </c>
      <c r="J2191" s="26">
        <v>0</v>
      </c>
      <c r="K2191" s="26">
        <v>0</v>
      </c>
      <c r="L2191" s="26">
        <v>0</v>
      </c>
      <c r="M2191" s="26">
        <v>0</v>
      </c>
      <c r="N2191" s="26">
        <v>0</v>
      </c>
      <c r="P2191" s="73"/>
      <c r="Q2191" s="202">
        <v>1982</v>
      </c>
      <c r="R2191" s="210">
        <v>20</v>
      </c>
      <c r="S2191" s="205" t="s">
        <v>1579</v>
      </c>
      <c r="T2191" s="206" t="s">
        <v>87</v>
      </c>
      <c r="U2191" s="211">
        <v>0</v>
      </c>
      <c r="V2191" s="211">
        <v>0</v>
      </c>
      <c r="W2191" s="213">
        <v>0</v>
      </c>
      <c r="X2191" s="213">
        <v>0</v>
      </c>
    </row>
    <row r="2192" spans="1:24" ht="15" customHeight="1">
      <c r="C2192" s="3">
        <v>20</v>
      </c>
      <c r="D2192" s="15" t="s">
        <v>1580</v>
      </c>
      <c r="E2192" s="312" t="s">
        <v>89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P2192" s="78"/>
      <c r="Q2192" s="202">
        <v>1983</v>
      </c>
      <c r="R2192" s="210">
        <v>20</v>
      </c>
      <c r="S2192" s="205" t="s">
        <v>1580</v>
      </c>
      <c r="T2192" s="206" t="s">
        <v>89</v>
      </c>
      <c r="U2192" s="211">
        <v>0</v>
      </c>
      <c r="V2192" s="211">
        <v>0</v>
      </c>
      <c r="W2192" s="213">
        <v>0</v>
      </c>
      <c r="X2192" s="213">
        <v>0</v>
      </c>
    </row>
    <row r="2193" spans="1:24" ht="15" customHeight="1">
      <c r="C2193" s="3">
        <v>20</v>
      </c>
      <c r="D2193" s="15" t="s">
        <v>1581</v>
      </c>
      <c r="E2193" s="312" t="s">
        <v>91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P2193" s="85"/>
      <c r="Q2193" s="202">
        <v>1984</v>
      </c>
      <c r="R2193" s="210">
        <v>20</v>
      </c>
      <c r="S2193" s="205" t="s">
        <v>1581</v>
      </c>
      <c r="T2193" s="206" t="s">
        <v>91</v>
      </c>
      <c r="U2193" s="211">
        <v>0</v>
      </c>
      <c r="V2193" s="211">
        <v>0</v>
      </c>
      <c r="W2193" s="213">
        <v>0</v>
      </c>
      <c r="X2193" s="213">
        <v>0</v>
      </c>
    </row>
    <row r="2194" spans="1:24" ht="15" customHeight="1">
      <c r="C2194" s="3">
        <v>20</v>
      </c>
      <c r="D2194" s="15" t="s">
        <v>1582</v>
      </c>
      <c r="E2194" s="312" t="s">
        <v>93</v>
      </c>
      <c r="G2194" s="26">
        <v>372</v>
      </c>
      <c r="H2194" s="26">
        <v>0</v>
      </c>
      <c r="I2194" s="26">
        <v>0</v>
      </c>
      <c r="J2194" s="26">
        <v>0</v>
      </c>
      <c r="K2194" s="26">
        <v>0</v>
      </c>
      <c r="L2194" s="26">
        <v>0</v>
      </c>
      <c r="M2194" s="26">
        <v>0</v>
      </c>
      <c r="N2194" s="26">
        <v>0</v>
      </c>
      <c r="P2194" s="83"/>
      <c r="Q2194" s="202">
        <v>1985</v>
      </c>
      <c r="R2194" s="210">
        <v>20</v>
      </c>
      <c r="S2194" s="205" t="s">
        <v>1582</v>
      </c>
      <c r="T2194" s="206" t="s">
        <v>93</v>
      </c>
      <c r="U2194" s="211">
        <v>0</v>
      </c>
      <c r="V2194" s="211">
        <v>0</v>
      </c>
      <c r="W2194" s="213">
        <v>0</v>
      </c>
      <c r="X2194" s="213">
        <v>0</v>
      </c>
    </row>
    <row r="2195" spans="1:24" ht="15" customHeight="1">
      <c r="C2195" s="3">
        <v>20</v>
      </c>
      <c r="D2195" s="15" t="s">
        <v>1583</v>
      </c>
      <c r="E2195" s="312" t="s">
        <v>95</v>
      </c>
      <c r="G2195" s="26">
        <v>0</v>
      </c>
      <c r="H2195" s="26">
        <v>0</v>
      </c>
      <c r="I2195" s="26">
        <v>0</v>
      </c>
      <c r="J2195" s="26">
        <v>0</v>
      </c>
      <c r="K2195" s="26">
        <v>0</v>
      </c>
      <c r="L2195" s="26">
        <v>0</v>
      </c>
      <c r="M2195" s="26">
        <v>0</v>
      </c>
      <c r="N2195" s="26">
        <v>0</v>
      </c>
      <c r="P2195" s="78"/>
      <c r="Q2195" s="202">
        <v>1986</v>
      </c>
      <c r="R2195" s="210">
        <v>20</v>
      </c>
      <c r="S2195" s="205" t="s">
        <v>1583</v>
      </c>
      <c r="T2195" s="206" t="s">
        <v>95</v>
      </c>
      <c r="U2195" s="211">
        <v>0</v>
      </c>
      <c r="V2195" s="211">
        <v>0</v>
      </c>
      <c r="W2195" s="213">
        <v>0</v>
      </c>
      <c r="X2195" s="213">
        <v>0</v>
      </c>
    </row>
    <row r="2196" spans="1:24" ht="15" customHeight="1">
      <c r="C2196" s="3">
        <v>20</v>
      </c>
      <c r="D2196" s="15" t="s">
        <v>1584</v>
      </c>
      <c r="E2196" s="312" t="s">
        <v>97</v>
      </c>
      <c r="G2196" s="26">
        <v>0</v>
      </c>
      <c r="H2196" s="26">
        <v>0</v>
      </c>
      <c r="I2196" s="26">
        <v>0</v>
      </c>
      <c r="J2196" s="26">
        <v>0</v>
      </c>
      <c r="K2196" s="26">
        <v>0</v>
      </c>
      <c r="L2196" s="26">
        <v>0</v>
      </c>
      <c r="M2196" s="26">
        <v>0</v>
      </c>
      <c r="N2196" s="26">
        <v>0</v>
      </c>
      <c r="P2196" s="78"/>
      <c r="Q2196" s="202">
        <v>1987</v>
      </c>
      <c r="R2196" s="210">
        <v>20</v>
      </c>
      <c r="S2196" s="205" t="s">
        <v>1584</v>
      </c>
      <c r="T2196" s="206" t="s">
        <v>97</v>
      </c>
      <c r="U2196" s="211">
        <v>0</v>
      </c>
      <c r="V2196" s="211">
        <v>0</v>
      </c>
      <c r="W2196" s="213">
        <v>0</v>
      </c>
      <c r="X2196" s="213">
        <v>0</v>
      </c>
    </row>
    <row r="2197" spans="1:24" ht="15" customHeight="1">
      <c r="C2197" s="3">
        <v>20</v>
      </c>
      <c r="D2197" s="15" t="s">
        <v>1585</v>
      </c>
      <c r="E2197" s="312" t="s">
        <v>99</v>
      </c>
      <c r="G2197" s="26">
        <v>0</v>
      </c>
      <c r="H2197" s="26">
        <v>0</v>
      </c>
      <c r="I2197" s="26">
        <v>0</v>
      </c>
      <c r="J2197" s="26">
        <v>0</v>
      </c>
      <c r="K2197" s="26">
        <v>0</v>
      </c>
      <c r="L2197" s="26">
        <v>0</v>
      </c>
      <c r="M2197" s="26">
        <v>0</v>
      </c>
      <c r="N2197" s="26">
        <v>0</v>
      </c>
      <c r="P2197" s="73"/>
      <c r="Q2197" s="202">
        <v>1988</v>
      </c>
      <c r="R2197" s="210">
        <v>20</v>
      </c>
      <c r="S2197" s="205" t="s">
        <v>1585</v>
      </c>
      <c r="T2197" s="206" t="s">
        <v>99</v>
      </c>
      <c r="U2197" s="211">
        <v>0</v>
      </c>
      <c r="V2197" s="211">
        <v>0</v>
      </c>
      <c r="W2197" s="213">
        <v>0</v>
      </c>
      <c r="X2197" s="213">
        <v>0</v>
      </c>
    </row>
    <row r="2198" spans="1:24" ht="15" customHeight="1">
      <c r="C2198" s="3">
        <v>20</v>
      </c>
      <c r="D2198" s="15" t="s">
        <v>1586</v>
      </c>
      <c r="E2198" s="312" t="s">
        <v>101</v>
      </c>
      <c r="G2198" s="26">
        <v>0</v>
      </c>
      <c r="H2198" s="26">
        <v>0</v>
      </c>
      <c r="I2198" s="26">
        <v>0</v>
      </c>
      <c r="J2198" s="26">
        <v>0</v>
      </c>
      <c r="K2198" s="26">
        <v>0</v>
      </c>
      <c r="L2198" s="26">
        <v>0</v>
      </c>
      <c r="M2198" s="26">
        <v>0</v>
      </c>
      <c r="N2198" s="26">
        <v>0</v>
      </c>
      <c r="P2198" s="73"/>
      <c r="Q2198" s="202">
        <v>1989</v>
      </c>
      <c r="R2198" s="210">
        <v>20</v>
      </c>
      <c r="S2198" s="205" t="s">
        <v>1586</v>
      </c>
      <c r="T2198" s="206" t="s">
        <v>101</v>
      </c>
      <c r="U2198" s="211">
        <v>0</v>
      </c>
      <c r="V2198" s="211">
        <v>0</v>
      </c>
      <c r="W2198" s="213">
        <v>0</v>
      </c>
      <c r="X2198" s="213">
        <v>0</v>
      </c>
    </row>
    <row r="2199" spans="1:24" ht="15" customHeight="1">
      <c r="C2199" s="3">
        <v>20</v>
      </c>
      <c r="D2199" s="15" t="s">
        <v>1587</v>
      </c>
      <c r="E2199" s="312" t="s">
        <v>103</v>
      </c>
      <c r="G2199" s="26">
        <v>0</v>
      </c>
      <c r="H2199" s="26">
        <v>0</v>
      </c>
      <c r="I2199" s="26">
        <v>0</v>
      </c>
      <c r="J2199" s="26">
        <v>0</v>
      </c>
      <c r="K2199" s="26">
        <v>0</v>
      </c>
      <c r="L2199" s="26">
        <v>0</v>
      </c>
      <c r="M2199" s="26">
        <v>0</v>
      </c>
      <c r="N2199" s="26">
        <v>0</v>
      </c>
      <c r="P2199" s="73"/>
      <c r="Q2199" s="202">
        <v>1990</v>
      </c>
      <c r="R2199" s="210">
        <v>20</v>
      </c>
      <c r="S2199" s="205" t="s">
        <v>1587</v>
      </c>
      <c r="T2199" s="206" t="s">
        <v>103</v>
      </c>
      <c r="U2199" s="211">
        <v>0</v>
      </c>
      <c r="V2199" s="211">
        <v>0</v>
      </c>
      <c r="W2199" s="213">
        <v>0</v>
      </c>
      <c r="X2199" s="213">
        <v>0</v>
      </c>
    </row>
    <row r="2200" spans="1:24" ht="15" customHeight="1">
      <c r="G2200" s="26"/>
      <c r="H2200" s="26"/>
      <c r="I2200" s="26"/>
      <c r="J2200" s="26"/>
      <c r="K2200" s="26"/>
      <c r="L2200" s="26"/>
      <c r="M2200" s="26"/>
      <c r="N2200" s="26"/>
      <c r="P2200" s="73"/>
      <c r="Q2200" s="202">
        <v>1991</v>
      </c>
      <c r="R2200" s="210">
        <v>20</v>
      </c>
      <c r="S2200" s="205" t="s">
        <v>2623</v>
      </c>
      <c r="T2200" s="206"/>
      <c r="U2200" s="211"/>
      <c r="V2200" s="211"/>
      <c r="W2200" s="213"/>
      <c r="X2200" s="213"/>
    </row>
    <row r="2201" spans="1:24" s="72" customFormat="1" ht="15" customHeight="1">
      <c r="A2201" s="5" t="s">
        <v>2410</v>
      </c>
      <c r="B2201" s="62" t="s">
        <v>2317</v>
      </c>
      <c r="C2201" s="3"/>
      <c r="D2201" s="323" t="s">
        <v>2347</v>
      </c>
      <c r="E2201" s="323"/>
      <c r="F2201" s="324"/>
      <c r="G2201" s="325">
        <f>SUM(G2185:G2200)</f>
        <v>372</v>
      </c>
      <c r="H2201" s="325">
        <f t="shared" ref="H2201:N2201" si="178">SUM(H2185:H2200)</f>
        <v>0</v>
      </c>
      <c r="I2201" s="325">
        <f t="shared" si="178"/>
        <v>0</v>
      </c>
      <c r="J2201" s="325">
        <f t="shared" si="178"/>
        <v>0</v>
      </c>
      <c r="K2201" s="325">
        <f t="shared" si="178"/>
        <v>0</v>
      </c>
      <c r="L2201" s="325">
        <f t="shared" si="178"/>
        <v>0</v>
      </c>
      <c r="M2201" s="325">
        <f t="shared" si="178"/>
        <v>0</v>
      </c>
      <c r="N2201" s="325">
        <f t="shared" si="178"/>
        <v>0</v>
      </c>
      <c r="O2201" s="286"/>
      <c r="P2201" s="73"/>
      <c r="Q2201" s="202">
        <v>1992</v>
      </c>
      <c r="R2201" s="210">
        <v>20</v>
      </c>
      <c r="S2201" s="205" t="s">
        <v>2621</v>
      </c>
      <c r="T2201" s="206"/>
      <c r="U2201" s="211">
        <v>0</v>
      </c>
      <c r="V2201" s="211">
        <v>0</v>
      </c>
      <c r="W2201" s="213">
        <v>0</v>
      </c>
      <c r="X2201" s="213">
        <v>0</v>
      </c>
    </row>
    <row r="2202" spans="1:24" s="46" customFormat="1" ht="15" customHeight="1">
      <c r="B2202" s="14"/>
      <c r="C2202" s="3"/>
      <c r="D2202" s="47"/>
      <c r="E2202" s="47"/>
      <c r="F2202" s="191"/>
      <c r="G2202" s="48"/>
      <c r="H2202" s="48"/>
      <c r="I2202" s="48"/>
      <c r="J2202" s="48"/>
      <c r="K2202" s="48"/>
      <c r="L2202" s="48"/>
      <c r="M2202" s="48"/>
      <c r="N2202" s="48"/>
      <c r="O2202" s="289"/>
      <c r="P2202" s="73"/>
      <c r="Q2202" s="202">
        <v>1993</v>
      </c>
      <c r="R2202" s="210">
        <v>20</v>
      </c>
      <c r="S2202" s="205" t="s">
        <v>104</v>
      </c>
      <c r="T2202" s="206"/>
      <c r="U2202" s="211"/>
      <c r="V2202" s="211"/>
      <c r="W2202" s="213"/>
      <c r="X2202" s="213"/>
    </row>
    <row r="2203" spans="1:24" ht="15" customHeight="1">
      <c r="D2203" s="47" t="s">
        <v>2348</v>
      </c>
      <c r="G2203" s="26"/>
      <c r="H2203" s="26"/>
      <c r="I2203" s="26"/>
      <c r="J2203" s="26"/>
      <c r="K2203" s="26"/>
      <c r="L2203" s="26"/>
      <c r="M2203" s="26"/>
      <c r="N2203" s="26"/>
      <c r="P2203" s="73"/>
      <c r="Q2203" s="202">
        <v>1994</v>
      </c>
      <c r="R2203" s="210">
        <v>20</v>
      </c>
      <c r="S2203" s="205" t="s">
        <v>2624</v>
      </c>
      <c r="T2203" s="206"/>
      <c r="U2203" s="211"/>
      <c r="V2203" s="211"/>
      <c r="W2203" s="213"/>
      <c r="X2203" s="213"/>
    </row>
    <row r="2204" spans="1:24" ht="15" customHeight="1">
      <c r="G2204" s="26"/>
      <c r="H2204" s="26"/>
      <c r="I2204" s="26"/>
      <c r="J2204" s="26"/>
      <c r="K2204" s="26"/>
      <c r="L2204" s="26"/>
      <c r="M2204" s="26"/>
      <c r="N2204" s="26"/>
      <c r="P2204" s="73"/>
    </row>
    <row r="2205" spans="1:24" ht="15" customHeight="1">
      <c r="C2205" s="3">
        <v>20</v>
      </c>
      <c r="D2205" s="15" t="s">
        <v>1588</v>
      </c>
      <c r="E2205" s="312" t="s">
        <v>115</v>
      </c>
      <c r="G2205" s="26">
        <v>0</v>
      </c>
      <c r="H2205" s="26">
        <v>0</v>
      </c>
      <c r="I2205" s="26">
        <v>0</v>
      </c>
      <c r="J2205" s="26">
        <v>0</v>
      </c>
      <c r="K2205" s="26">
        <v>0</v>
      </c>
      <c r="L2205" s="26">
        <v>0</v>
      </c>
      <c r="M2205" s="26">
        <v>0</v>
      </c>
      <c r="N2205" s="26">
        <v>0</v>
      </c>
      <c r="O2205" s="285"/>
      <c r="P2205" s="73"/>
      <c r="Q2205" s="202">
        <v>1995</v>
      </c>
      <c r="R2205" s="210">
        <v>20</v>
      </c>
      <c r="S2205" s="205" t="s">
        <v>1588</v>
      </c>
      <c r="T2205" s="206" t="s">
        <v>115</v>
      </c>
      <c r="U2205" s="211">
        <v>0</v>
      </c>
      <c r="V2205" s="211">
        <v>0</v>
      </c>
      <c r="W2205" s="213">
        <v>0</v>
      </c>
      <c r="X2205" s="213">
        <v>0</v>
      </c>
    </row>
    <row r="2206" spans="1:24" ht="15" customHeight="1">
      <c r="C2206" s="3">
        <v>20</v>
      </c>
      <c r="D2206" s="15" t="s">
        <v>1589</v>
      </c>
      <c r="E2206" s="312" t="s">
        <v>117</v>
      </c>
      <c r="G2206" s="26">
        <v>0</v>
      </c>
      <c r="H2206" s="26">
        <v>0</v>
      </c>
      <c r="I2206" s="26">
        <v>0</v>
      </c>
      <c r="J2206" s="26">
        <v>0</v>
      </c>
      <c r="K2206" s="26">
        <v>0</v>
      </c>
      <c r="L2206" s="26">
        <v>0</v>
      </c>
      <c r="M2206" s="26">
        <v>0</v>
      </c>
      <c r="N2206" s="26">
        <v>0</v>
      </c>
      <c r="O2206" s="285"/>
      <c r="P2206" s="73"/>
      <c r="Q2206" s="202">
        <v>1996</v>
      </c>
      <c r="R2206" s="210">
        <v>20</v>
      </c>
      <c r="S2206" s="205" t="s">
        <v>1589</v>
      </c>
      <c r="T2206" s="206" t="s">
        <v>117</v>
      </c>
      <c r="U2206" s="211">
        <v>0</v>
      </c>
      <c r="V2206" s="211">
        <v>0</v>
      </c>
      <c r="W2206" s="213">
        <v>0</v>
      </c>
      <c r="X2206" s="213">
        <v>0</v>
      </c>
    </row>
    <row r="2207" spans="1:24" ht="15" customHeight="1">
      <c r="C2207" s="3">
        <v>20</v>
      </c>
      <c r="D2207" s="15" t="s">
        <v>1590</v>
      </c>
      <c r="E2207" s="312" t="s">
        <v>119</v>
      </c>
      <c r="G2207" s="26">
        <v>0</v>
      </c>
      <c r="H2207" s="26">
        <v>0</v>
      </c>
      <c r="I2207" s="26">
        <v>0</v>
      </c>
      <c r="J2207" s="26">
        <v>0</v>
      </c>
      <c r="K2207" s="26">
        <v>0</v>
      </c>
      <c r="L2207" s="26">
        <v>0</v>
      </c>
      <c r="M2207" s="26">
        <v>0</v>
      </c>
      <c r="N2207" s="26">
        <v>0</v>
      </c>
      <c r="O2207" s="285"/>
      <c r="P2207" s="73"/>
      <c r="Q2207" s="202">
        <v>1997</v>
      </c>
      <c r="R2207" s="210">
        <v>20</v>
      </c>
      <c r="S2207" s="205" t="s">
        <v>1590</v>
      </c>
      <c r="T2207" s="206" t="s">
        <v>119</v>
      </c>
      <c r="U2207" s="211">
        <v>0</v>
      </c>
      <c r="V2207" s="211">
        <v>0</v>
      </c>
      <c r="W2207" s="213">
        <v>0</v>
      </c>
      <c r="X2207" s="213">
        <v>0</v>
      </c>
    </row>
    <row r="2208" spans="1:24" ht="15" customHeight="1">
      <c r="C2208" s="3">
        <v>20</v>
      </c>
      <c r="D2208" s="15" t="s">
        <v>1591</v>
      </c>
      <c r="E2208" s="312" t="s">
        <v>121</v>
      </c>
      <c r="G2208" s="26">
        <v>0</v>
      </c>
      <c r="H2208" s="26">
        <v>0</v>
      </c>
      <c r="I2208" s="26">
        <v>0</v>
      </c>
      <c r="J2208" s="26">
        <v>0</v>
      </c>
      <c r="K2208" s="26">
        <v>0</v>
      </c>
      <c r="L2208" s="26">
        <v>0</v>
      </c>
      <c r="M2208" s="26">
        <v>0</v>
      </c>
      <c r="N2208" s="26">
        <v>0</v>
      </c>
      <c r="O2208" s="285"/>
      <c r="P2208" s="73"/>
      <c r="Q2208" s="202">
        <v>1998</v>
      </c>
      <c r="R2208" s="210">
        <v>20</v>
      </c>
      <c r="S2208" s="205" t="s">
        <v>1591</v>
      </c>
      <c r="T2208" s="206" t="s">
        <v>121</v>
      </c>
      <c r="U2208" s="211">
        <v>0</v>
      </c>
      <c r="V2208" s="211">
        <v>0</v>
      </c>
      <c r="W2208" s="213">
        <v>0</v>
      </c>
      <c r="X2208" s="213">
        <v>0</v>
      </c>
    </row>
    <row r="2209" spans="1:24" ht="15" customHeight="1">
      <c r="C2209" s="3">
        <v>20</v>
      </c>
      <c r="D2209" s="15" t="s">
        <v>1592</v>
      </c>
      <c r="E2209" s="312" t="s">
        <v>123</v>
      </c>
      <c r="G2209" s="26">
        <v>0</v>
      </c>
      <c r="H2209" s="26">
        <v>0</v>
      </c>
      <c r="I2209" s="26">
        <v>0</v>
      </c>
      <c r="J2209" s="26">
        <v>0</v>
      </c>
      <c r="K2209" s="26">
        <v>0</v>
      </c>
      <c r="L2209" s="26">
        <v>0</v>
      </c>
      <c r="M2209" s="26">
        <v>0</v>
      </c>
      <c r="N2209" s="26">
        <v>0</v>
      </c>
      <c r="O2209" s="285"/>
      <c r="P2209" s="73"/>
      <c r="Q2209" s="202">
        <v>1999</v>
      </c>
      <c r="R2209" s="210">
        <v>20</v>
      </c>
      <c r="S2209" s="205" t="s">
        <v>1592</v>
      </c>
      <c r="T2209" s="206" t="s">
        <v>123</v>
      </c>
      <c r="U2209" s="211">
        <v>0</v>
      </c>
      <c r="V2209" s="211">
        <v>0</v>
      </c>
      <c r="W2209" s="213">
        <v>0</v>
      </c>
      <c r="X2209" s="213">
        <v>0</v>
      </c>
    </row>
    <row r="2210" spans="1:24" ht="15" customHeight="1">
      <c r="C2210" s="3">
        <v>20</v>
      </c>
      <c r="D2210" s="15" t="s">
        <v>1593</v>
      </c>
      <c r="E2210" s="312" t="s">
        <v>125</v>
      </c>
      <c r="G2210" s="26">
        <v>0</v>
      </c>
      <c r="H2210" s="26">
        <v>0</v>
      </c>
      <c r="I2210" s="26">
        <v>0</v>
      </c>
      <c r="J2210" s="26">
        <v>0</v>
      </c>
      <c r="K2210" s="26">
        <v>0</v>
      </c>
      <c r="L2210" s="26">
        <v>0</v>
      </c>
      <c r="M2210" s="26">
        <v>0</v>
      </c>
      <c r="N2210" s="26">
        <v>0</v>
      </c>
      <c r="O2210" s="285"/>
      <c r="P2210" s="73"/>
      <c r="Q2210" s="202">
        <v>2000</v>
      </c>
      <c r="R2210" s="210">
        <v>20</v>
      </c>
      <c r="S2210" s="205" t="s">
        <v>1593</v>
      </c>
      <c r="T2210" s="206" t="s">
        <v>125</v>
      </c>
      <c r="U2210" s="211">
        <v>0</v>
      </c>
      <c r="V2210" s="211">
        <v>0</v>
      </c>
      <c r="W2210" s="213">
        <v>0</v>
      </c>
      <c r="X2210" s="213">
        <v>0</v>
      </c>
    </row>
    <row r="2211" spans="1:24" ht="15" customHeight="1">
      <c r="C2211" s="3">
        <v>20</v>
      </c>
      <c r="D2211" s="15" t="s">
        <v>1594</v>
      </c>
      <c r="E2211" s="312" t="s">
        <v>106</v>
      </c>
      <c r="G2211" s="26">
        <v>0</v>
      </c>
      <c r="H2211" s="26">
        <v>0</v>
      </c>
      <c r="I2211" s="26">
        <v>0</v>
      </c>
      <c r="J2211" s="26">
        <v>0</v>
      </c>
      <c r="K2211" s="26">
        <v>0</v>
      </c>
      <c r="L2211" s="26">
        <v>0</v>
      </c>
      <c r="M2211" s="26">
        <v>0</v>
      </c>
      <c r="N2211" s="26">
        <v>0</v>
      </c>
      <c r="O2211" s="285"/>
      <c r="P2211" s="73"/>
      <c r="Q2211" s="202">
        <v>2001</v>
      </c>
      <c r="R2211" s="210">
        <v>20</v>
      </c>
      <c r="S2211" s="205" t="s">
        <v>1594</v>
      </c>
      <c r="T2211" s="206" t="s">
        <v>106</v>
      </c>
      <c r="U2211" s="211">
        <v>0</v>
      </c>
      <c r="V2211" s="211">
        <v>0</v>
      </c>
      <c r="W2211" s="213">
        <v>0</v>
      </c>
      <c r="X2211" s="213">
        <v>0</v>
      </c>
    </row>
    <row r="2212" spans="1:24" ht="15" customHeight="1">
      <c r="C2212" s="3">
        <v>20</v>
      </c>
      <c r="D2212" s="15" t="s">
        <v>1595</v>
      </c>
      <c r="E2212" s="312" t="s">
        <v>197</v>
      </c>
      <c r="G2212" s="26">
        <v>0</v>
      </c>
      <c r="H2212" s="26">
        <v>0</v>
      </c>
      <c r="I2212" s="26">
        <v>0</v>
      </c>
      <c r="J2212" s="26">
        <v>0</v>
      </c>
      <c r="K2212" s="26">
        <v>0</v>
      </c>
      <c r="L2212" s="26">
        <v>0</v>
      </c>
      <c r="M2212" s="26">
        <v>0</v>
      </c>
      <c r="N2212" s="26">
        <v>0</v>
      </c>
      <c r="O2212" s="285"/>
      <c r="P2212" s="73"/>
      <c r="Q2212" s="202">
        <v>2002</v>
      </c>
      <c r="R2212" s="210">
        <v>20</v>
      </c>
      <c r="S2212" s="205" t="s">
        <v>1595</v>
      </c>
      <c r="T2212" s="206" t="s">
        <v>197</v>
      </c>
      <c r="U2212" s="211">
        <v>0</v>
      </c>
      <c r="V2212" s="211">
        <v>0</v>
      </c>
      <c r="W2212" s="213">
        <v>0</v>
      </c>
      <c r="X2212" s="213">
        <v>0</v>
      </c>
    </row>
    <row r="2213" spans="1:24" ht="15" customHeight="1">
      <c r="C2213" s="3">
        <v>20</v>
      </c>
      <c r="D2213" s="15" t="s">
        <v>1596</v>
      </c>
      <c r="E2213" s="312" t="s">
        <v>128</v>
      </c>
      <c r="G2213" s="26">
        <v>0</v>
      </c>
      <c r="H2213" s="26">
        <v>0</v>
      </c>
      <c r="I2213" s="26">
        <v>0</v>
      </c>
      <c r="J2213" s="26">
        <v>0</v>
      </c>
      <c r="K2213" s="26">
        <v>0</v>
      </c>
      <c r="L2213" s="26">
        <v>0</v>
      </c>
      <c r="M2213" s="26">
        <v>0</v>
      </c>
      <c r="N2213" s="26">
        <v>0</v>
      </c>
      <c r="O2213" s="285"/>
      <c r="P2213" s="73"/>
      <c r="Q2213" s="202">
        <v>2003</v>
      </c>
      <c r="R2213" s="210">
        <v>20</v>
      </c>
      <c r="S2213" s="205" t="s">
        <v>1596</v>
      </c>
      <c r="T2213" s="206" t="s">
        <v>128</v>
      </c>
      <c r="U2213" s="211">
        <v>0</v>
      </c>
      <c r="V2213" s="211">
        <v>0</v>
      </c>
      <c r="W2213" s="213">
        <v>0</v>
      </c>
      <c r="X2213" s="213">
        <v>0</v>
      </c>
    </row>
    <row r="2214" spans="1:24" ht="15" customHeight="1">
      <c r="C2214" s="3">
        <v>20</v>
      </c>
      <c r="D2214" s="15" t="s">
        <v>1597</v>
      </c>
      <c r="E2214" s="312" t="s">
        <v>200</v>
      </c>
      <c r="G2214" s="26">
        <v>0</v>
      </c>
      <c r="H2214" s="26">
        <v>0</v>
      </c>
      <c r="I2214" s="26">
        <v>0</v>
      </c>
      <c r="J2214" s="26">
        <v>0</v>
      </c>
      <c r="K2214" s="26">
        <v>0</v>
      </c>
      <c r="L2214" s="26">
        <v>0</v>
      </c>
      <c r="M2214" s="26">
        <v>0</v>
      </c>
      <c r="N2214" s="26">
        <v>0</v>
      </c>
      <c r="O2214" s="285"/>
      <c r="P2214" s="73"/>
      <c r="Q2214" s="202">
        <v>2004</v>
      </c>
      <c r="R2214" s="210">
        <v>20</v>
      </c>
      <c r="S2214" s="205" t="s">
        <v>1597</v>
      </c>
      <c r="T2214" s="206" t="s">
        <v>200</v>
      </c>
      <c r="U2214" s="211">
        <v>0</v>
      </c>
      <c r="V2214" s="211">
        <v>0</v>
      </c>
      <c r="W2214" s="213">
        <v>0</v>
      </c>
      <c r="X2214" s="213">
        <v>0</v>
      </c>
    </row>
    <row r="2215" spans="1:24" ht="15" customHeight="1">
      <c r="C2215" s="3">
        <v>20</v>
      </c>
      <c r="D2215" s="15" t="s">
        <v>1598</v>
      </c>
      <c r="E2215" s="312" t="s">
        <v>202</v>
      </c>
      <c r="G2215" s="26">
        <v>0</v>
      </c>
      <c r="H2215" s="26">
        <v>0</v>
      </c>
      <c r="I2215" s="26">
        <v>0</v>
      </c>
      <c r="J2215" s="26">
        <v>0</v>
      </c>
      <c r="K2215" s="26">
        <v>0</v>
      </c>
      <c r="L2215" s="26">
        <v>0</v>
      </c>
      <c r="M2215" s="26">
        <v>0</v>
      </c>
      <c r="N2215" s="26">
        <v>0</v>
      </c>
      <c r="O2215" s="285"/>
      <c r="P2215" s="73"/>
      <c r="Q2215" s="202">
        <v>2005</v>
      </c>
      <c r="R2215" s="210">
        <v>20</v>
      </c>
      <c r="S2215" s="205" t="s">
        <v>1598</v>
      </c>
      <c r="T2215" s="206" t="s">
        <v>202</v>
      </c>
      <c r="U2215" s="211">
        <v>0</v>
      </c>
      <c r="V2215" s="211">
        <v>0</v>
      </c>
      <c r="W2215" s="213">
        <v>0</v>
      </c>
      <c r="X2215" s="213">
        <v>0</v>
      </c>
    </row>
    <row r="2216" spans="1:24" ht="15" customHeight="1">
      <c r="C2216" s="3">
        <v>20</v>
      </c>
      <c r="D2216" s="15" t="s">
        <v>1599</v>
      </c>
      <c r="E2216" s="312" t="s">
        <v>130</v>
      </c>
      <c r="G2216" s="26">
        <v>0</v>
      </c>
      <c r="H2216" s="26">
        <v>0</v>
      </c>
      <c r="I2216" s="26">
        <v>0</v>
      </c>
      <c r="J2216" s="26">
        <v>0</v>
      </c>
      <c r="K2216" s="26">
        <v>0</v>
      </c>
      <c r="L2216" s="26">
        <v>0</v>
      </c>
      <c r="M2216" s="26">
        <v>0</v>
      </c>
      <c r="N2216" s="26">
        <v>0</v>
      </c>
      <c r="O2216" s="285"/>
      <c r="P2216" s="73"/>
      <c r="Q2216" s="202">
        <v>2006</v>
      </c>
      <c r="R2216" s="210">
        <v>20</v>
      </c>
      <c r="S2216" s="205" t="s">
        <v>1599</v>
      </c>
      <c r="T2216" s="206" t="s">
        <v>130</v>
      </c>
      <c r="U2216" s="211">
        <v>0</v>
      </c>
      <c r="V2216" s="211">
        <v>0</v>
      </c>
      <c r="W2216" s="213">
        <v>0</v>
      </c>
      <c r="X2216" s="213">
        <v>0</v>
      </c>
    </row>
    <row r="2217" spans="1:24" ht="15" customHeight="1">
      <c r="C2217" s="3">
        <v>20</v>
      </c>
      <c r="D2217" s="15" t="s">
        <v>1600</v>
      </c>
      <c r="E2217" s="312" t="s">
        <v>132</v>
      </c>
      <c r="G2217" s="26">
        <v>0</v>
      </c>
      <c r="H2217" s="26">
        <v>0</v>
      </c>
      <c r="I2217" s="26">
        <v>0</v>
      </c>
      <c r="J2217" s="26">
        <v>0</v>
      </c>
      <c r="K2217" s="26">
        <v>0</v>
      </c>
      <c r="L2217" s="26">
        <v>0</v>
      </c>
      <c r="M2217" s="26">
        <v>0</v>
      </c>
      <c r="N2217" s="26">
        <v>0</v>
      </c>
      <c r="O2217" s="285"/>
      <c r="P2217" s="78"/>
      <c r="Q2217" s="202">
        <v>2007</v>
      </c>
      <c r="R2217" s="210">
        <v>20</v>
      </c>
      <c r="S2217" s="205" t="s">
        <v>1600</v>
      </c>
      <c r="T2217" s="206" t="s">
        <v>132</v>
      </c>
      <c r="U2217" s="211">
        <v>0</v>
      </c>
      <c r="V2217" s="211">
        <v>0</v>
      </c>
      <c r="W2217" s="213">
        <v>0</v>
      </c>
      <c r="X2217" s="213">
        <v>0</v>
      </c>
    </row>
    <row r="2218" spans="1:24" ht="15" customHeight="1">
      <c r="C2218" s="3">
        <v>20</v>
      </c>
      <c r="D2218" s="15" t="s">
        <v>1601</v>
      </c>
      <c r="E2218" s="312" t="s">
        <v>206</v>
      </c>
      <c r="G2218" s="26">
        <v>0</v>
      </c>
      <c r="H2218" s="26">
        <v>0</v>
      </c>
      <c r="I2218" s="26">
        <v>0</v>
      </c>
      <c r="J2218" s="26">
        <v>0</v>
      </c>
      <c r="K2218" s="26">
        <v>0</v>
      </c>
      <c r="L2218" s="26">
        <v>0</v>
      </c>
      <c r="M2218" s="26">
        <v>0</v>
      </c>
      <c r="N2218" s="26">
        <v>0</v>
      </c>
      <c r="O2218" s="285"/>
      <c r="P2218" s="86"/>
      <c r="Q2218" s="202">
        <v>2008</v>
      </c>
      <c r="R2218" s="210">
        <v>20</v>
      </c>
      <c r="S2218" s="205" t="s">
        <v>1601</v>
      </c>
      <c r="T2218" s="206" t="s">
        <v>206</v>
      </c>
      <c r="U2218" s="211">
        <v>0</v>
      </c>
      <c r="V2218" s="211">
        <v>0</v>
      </c>
      <c r="W2218" s="213">
        <v>0</v>
      </c>
      <c r="X2218" s="213">
        <v>0</v>
      </c>
    </row>
    <row r="2219" spans="1:24" ht="15" customHeight="1">
      <c r="C2219" s="3">
        <v>20</v>
      </c>
      <c r="D2219" s="15" t="s">
        <v>1602</v>
      </c>
      <c r="E2219" s="312" t="s">
        <v>208</v>
      </c>
      <c r="G2219" s="26">
        <v>0</v>
      </c>
      <c r="H2219" s="26">
        <v>0</v>
      </c>
      <c r="I2219" s="26">
        <v>0</v>
      </c>
      <c r="J2219" s="26">
        <v>0</v>
      </c>
      <c r="K2219" s="26">
        <v>0</v>
      </c>
      <c r="L2219" s="26">
        <v>0</v>
      </c>
      <c r="M2219" s="26">
        <v>0</v>
      </c>
      <c r="N2219" s="26">
        <v>0</v>
      </c>
      <c r="O2219" s="285"/>
      <c r="P2219" s="83"/>
      <c r="Q2219" s="202">
        <v>2009</v>
      </c>
      <c r="R2219" s="210">
        <v>20</v>
      </c>
      <c r="S2219" s="205" t="s">
        <v>1602</v>
      </c>
      <c r="T2219" s="206" t="s">
        <v>208</v>
      </c>
      <c r="U2219" s="211">
        <v>0</v>
      </c>
      <c r="V2219" s="211">
        <v>0</v>
      </c>
      <c r="W2219" s="213">
        <v>0</v>
      </c>
      <c r="X2219" s="213">
        <v>0</v>
      </c>
    </row>
    <row r="2220" spans="1:24" ht="15" customHeight="1">
      <c r="C2220" s="3">
        <v>20</v>
      </c>
      <c r="D2220" s="15" t="s">
        <v>1603</v>
      </c>
      <c r="E2220" s="312" t="s">
        <v>210</v>
      </c>
      <c r="G2220" s="26">
        <v>0</v>
      </c>
      <c r="H2220" s="26">
        <v>0</v>
      </c>
      <c r="I2220" s="26">
        <v>0</v>
      </c>
      <c r="J2220" s="26">
        <v>0</v>
      </c>
      <c r="K2220" s="26">
        <v>0</v>
      </c>
      <c r="L2220" s="26">
        <v>0</v>
      </c>
      <c r="M2220" s="26">
        <v>0</v>
      </c>
      <c r="N2220" s="26">
        <v>0</v>
      </c>
      <c r="O2220" s="285"/>
      <c r="P2220" s="78"/>
      <c r="Q2220" s="202">
        <v>2010</v>
      </c>
      <c r="R2220" s="210">
        <v>20</v>
      </c>
      <c r="S2220" s="205" t="s">
        <v>1603</v>
      </c>
      <c r="T2220" s="206" t="s">
        <v>210</v>
      </c>
      <c r="U2220" s="211">
        <v>0</v>
      </c>
      <c r="V2220" s="211">
        <v>0</v>
      </c>
      <c r="W2220" s="213">
        <v>0</v>
      </c>
      <c r="X2220" s="213">
        <v>0</v>
      </c>
    </row>
    <row r="2221" spans="1:24" ht="15" customHeight="1" thickBot="1">
      <c r="C2221" s="3">
        <v>20</v>
      </c>
      <c r="D2221" s="15" t="s">
        <v>1604</v>
      </c>
      <c r="E2221" s="312" t="s">
        <v>134</v>
      </c>
      <c r="G2221" s="26">
        <v>0</v>
      </c>
      <c r="H2221" s="26">
        <v>0</v>
      </c>
      <c r="I2221" s="26">
        <v>0</v>
      </c>
      <c r="J2221" s="26">
        <v>0</v>
      </c>
      <c r="K2221" s="26">
        <v>0</v>
      </c>
      <c r="L2221" s="26">
        <v>0</v>
      </c>
      <c r="M2221" s="26">
        <v>0</v>
      </c>
      <c r="N2221" s="26">
        <v>0</v>
      </c>
      <c r="O2221" s="285"/>
      <c r="P2221" s="82"/>
      <c r="Q2221" s="202">
        <v>2011</v>
      </c>
      <c r="R2221" s="210">
        <v>20</v>
      </c>
      <c r="S2221" s="205" t="s">
        <v>1604</v>
      </c>
      <c r="T2221" s="206" t="s">
        <v>134</v>
      </c>
      <c r="U2221" s="211">
        <v>0</v>
      </c>
      <c r="V2221" s="211">
        <v>0</v>
      </c>
      <c r="W2221" s="213">
        <v>0</v>
      </c>
      <c r="X2221" s="213">
        <v>0</v>
      </c>
    </row>
    <row r="2222" spans="1:24" ht="15" customHeight="1" thickTop="1">
      <c r="C2222" s="3">
        <v>20</v>
      </c>
      <c r="D2222" s="15" t="s">
        <v>1605</v>
      </c>
      <c r="E2222" s="312" t="s">
        <v>213</v>
      </c>
      <c r="G2222" s="26">
        <v>0</v>
      </c>
      <c r="H2222" s="26">
        <v>0</v>
      </c>
      <c r="I2222" s="26">
        <v>0</v>
      </c>
      <c r="J2222" s="26">
        <v>0</v>
      </c>
      <c r="K2222" s="26">
        <v>0</v>
      </c>
      <c r="L2222" s="26">
        <v>0</v>
      </c>
      <c r="M2222" s="26">
        <v>0</v>
      </c>
      <c r="N2222" s="26">
        <v>0</v>
      </c>
      <c r="O2222" s="285"/>
      <c r="P2222" s="78"/>
      <c r="Q2222" s="202">
        <v>2012</v>
      </c>
      <c r="R2222" s="210">
        <v>20</v>
      </c>
      <c r="S2222" s="205" t="s">
        <v>1605</v>
      </c>
      <c r="T2222" s="206" t="s">
        <v>213</v>
      </c>
      <c r="U2222" s="211">
        <v>0</v>
      </c>
      <c r="V2222" s="211">
        <v>0</v>
      </c>
      <c r="W2222" s="213">
        <v>0</v>
      </c>
      <c r="X2222" s="213">
        <v>0</v>
      </c>
    </row>
    <row r="2223" spans="1:24" ht="15" customHeight="1">
      <c r="G2223" s="26"/>
      <c r="H2223" s="26"/>
      <c r="I2223" s="26"/>
      <c r="J2223" s="26"/>
      <c r="K2223" s="26"/>
      <c r="L2223" s="26"/>
      <c r="M2223" s="26"/>
      <c r="N2223" s="26"/>
      <c r="P2223" s="78"/>
      <c r="Q2223" s="202">
        <v>2013</v>
      </c>
      <c r="R2223" s="210">
        <v>20</v>
      </c>
      <c r="S2223" s="205" t="s">
        <v>2623</v>
      </c>
      <c r="T2223" s="206"/>
      <c r="U2223" s="211"/>
      <c r="V2223" s="211"/>
      <c r="W2223" s="213"/>
      <c r="X2223" s="213"/>
    </row>
    <row r="2224" spans="1:24" s="200" customFormat="1" ht="15" customHeight="1">
      <c r="A2224" s="196" t="s">
        <v>104</v>
      </c>
      <c r="B2224" s="201" t="s">
        <v>2317</v>
      </c>
      <c r="C2224" s="75"/>
      <c r="D2224" s="323" t="s">
        <v>2349</v>
      </c>
      <c r="E2224" s="323"/>
      <c r="F2224" s="324"/>
      <c r="G2224" s="325">
        <f>SUM(G2203:G2223)</f>
        <v>0</v>
      </c>
      <c r="H2224" s="325">
        <f t="shared" ref="H2224:N2224" si="179">SUM(H2203:H2223)</f>
        <v>0</v>
      </c>
      <c r="I2224" s="325">
        <f t="shared" si="179"/>
        <v>0</v>
      </c>
      <c r="J2224" s="325">
        <f t="shared" si="179"/>
        <v>0</v>
      </c>
      <c r="K2224" s="325">
        <f t="shared" si="179"/>
        <v>0</v>
      </c>
      <c r="L2224" s="325">
        <f t="shared" si="179"/>
        <v>0</v>
      </c>
      <c r="M2224" s="325">
        <f t="shared" si="179"/>
        <v>0</v>
      </c>
      <c r="N2224" s="325">
        <f t="shared" si="179"/>
        <v>0</v>
      </c>
      <c r="O2224" s="287"/>
      <c r="P2224" s="78"/>
      <c r="Q2224" s="202">
        <v>2014</v>
      </c>
      <c r="R2224" s="210">
        <v>20</v>
      </c>
      <c r="S2224" s="205" t="s">
        <v>104</v>
      </c>
      <c r="T2224" s="206"/>
      <c r="U2224" s="211">
        <v>0</v>
      </c>
      <c r="V2224" s="211">
        <v>0</v>
      </c>
      <c r="W2224" s="213">
        <v>0</v>
      </c>
      <c r="X2224" s="213">
        <v>0</v>
      </c>
    </row>
    <row r="2225" spans="2:24" s="46" customFormat="1" ht="15" customHeight="1">
      <c r="B2225" s="14"/>
      <c r="C2225" s="3"/>
      <c r="D2225" s="47"/>
      <c r="E2225" s="47"/>
      <c r="F2225" s="191"/>
      <c r="G2225" s="48"/>
      <c r="H2225" s="48"/>
      <c r="I2225" s="48"/>
      <c r="J2225" s="48"/>
      <c r="K2225" s="48"/>
      <c r="L2225" s="48"/>
      <c r="M2225" s="48"/>
      <c r="N2225" s="48"/>
      <c r="O2225" s="289"/>
      <c r="P2225" s="80"/>
      <c r="Q2225" s="202">
        <v>2015</v>
      </c>
      <c r="R2225" s="210">
        <v>20</v>
      </c>
      <c r="S2225" s="205" t="s">
        <v>135</v>
      </c>
      <c r="T2225" s="206"/>
      <c r="U2225" s="211"/>
      <c r="V2225" s="211"/>
      <c r="W2225" s="213"/>
      <c r="X2225" s="213"/>
    </row>
    <row r="2226" spans="2:24" ht="15" customHeight="1">
      <c r="D2226" s="47" t="s">
        <v>2350</v>
      </c>
      <c r="G2226" s="26"/>
      <c r="H2226" s="26"/>
      <c r="I2226" s="26"/>
      <c r="J2226" s="26"/>
      <c r="K2226" s="26"/>
      <c r="L2226" s="26"/>
      <c r="M2226" s="26"/>
      <c r="N2226" s="26"/>
      <c r="P2226" s="78"/>
      <c r="Q2226" s="202">
        <v>2016</v>
      </c>
      <c r="R2226" s="210">
        <v>20</v>
      </c>
      <c r="S2226" s="205" t="s">
        <v>2626</v>
      </c>
      <c r="T2226" s="206"/>
      <c r="U2226" s="211"/>
      <c r="V2226" s="211"/>
      <c r="W2226" s="213"/>
      <c r="X2226" s="213"/>
    </row>
    <row r="2227" spans="2:24" ht="15" customHeight="1">
      <c r="G2227" s="26"/>
      <c r="H2227" s="26"/>
      <c r="I2227" s="26"/>
      <c r="J2227" s="26"/>
      <c r="K2227" s="26"/>
      <c r="L2227" s="26"/>
      <c r="M2227" s="26"/>
      <c r="N2227" s="26"/>
      <c r="P2227" s="78"/>
    </row>
    <row r="2228" spans="2:24" ht="15" customHeight="1">
      <c r="C2228" s="3">
        <v>20</v>
      </c>
      <c r="D2228" s="15" t="s">
        <v>1606</v>
      </c>
      <c r="E2228" s="312" t="s">
        <v>137</v>
      </c>
      <c r="G2228" s="26">
        <v>0</v>
      </c>
      <c r="H2228" s="26">
        <v>0</v>
      </c>
      <c r="I2228" s="26">
        <v>0</v>
      </c>
      <c r="J2228" s="26">
        <v>0</v>
      </c>
      <c r="K2228" s="26">
        <v>0</v>
      </c>
      <c r="L2228" s="26">
        <v>0</v>
      </c>
      <c r="M2228" s="26">
        <v>0</v>
      </c>
      <c r="N2228" s="26"/>
      <c r="O2228" s="285"/>
      <c r="P2228" s="78"/>
      <c r="Q2228" s="202">
        <v>2017</v>
      </c>
      <c r="R2228" s="210">
        <v>20</v>
      </c>
      <c r="S2228" s="205" t="s">
        <v>1606</v>
      </c>
      <c r="T2228" s="206" t="s">
        <v>137</v>
      </c>
      <c r="U2228" s="211">
        <v>0</v>
      </c>
      <c r="V2228" s="211">
        <v>0</v>
      </c>
      <c r="W2228" s="213">
        <v>0</v>
      </c>
      <c r="X2228" s="213">
        <v>0</v>
      </c>
    </row>
    <row r="2229" spans="2:24" ht="15" customHeight="1">
      <c r="C2229" s="3">
        <v>20</v>
      </c>
      <c r="D2229" s="15" t="s">
        <v>1607</v>
      </c>
      <c r="E2229" s="312" t="s">
        <v>216</v>
      </c>
      <c r="G2229" s="26">
        <v>0</v>
      </c>
      <c r="H2229" s="26">
        <v>0</v>
      </c>
      <c r="I2229" s="26">
        <v>0</v>
      </c>
      <c r="J2229" s="26">
        <v>0</v>
      </c>
      <c r="K2229" s="26">
        <v>0</v>
      </c>
      <c r="L2229" s="26">
        <v>0</v>
      </c>
      <c r="M2229" s="26">
        <v>0</v>
      </c>
      <c r="N2229" s="26"/>
      <c r="O2229" s="285"/>
      <c r="P2229" s="78"/>
      <c r="Q2229" s="202">
        <v>2018</v>
      </c>
      <c r="R2229" s="210">
        <v>20</v>
      </c>
      <c r="S2229" s="205" t="s">
        <v>1607</v>
      </c>
      <c r="T2229" s="206" t="s">
        <v>216</v>
      </c>
      <c r="U2229" s="211">
        <v>0</v>
      </c>
      <c r="V2229" s="211">
        <v>0</v>
      </c>
      <c r="W2229" s="213">
        <v>0</v>
      </c>
      <c r="X2229" s="213">
        <v>0</v>
      </c>
    </row>
    <row r="2230" spans="2:24" ht="15" customHeight="1">
      <c r="C2230" s="3">
        <v>20</v>
      </c>
      <c r="D2230" s="15" t="s">
        <v>1608</v>
      </c>
      <c r="E2230" s="312" t="s">
        <v>139</v>
      </c>
      <c r="G2230" s="26">
        <v>962407</v>
      </c>
      <c r="H2230" s="26">
        <v>1102253</v>
      </c>
      <c r="I2230" s="26">
        <v>1125782</v>
      </c>
      <c r="J2230" s="26">
        <v>1167103</v>
      </c>
      <c r="K2230" s="26">
        <v>1210000</v>
      </c>
      <c r="L2230" s="26">
        <v>609083</v>
      </c>
      <c r="M2230" s="26">
        <f>815129+ (102771*3)</f>
        <v>1123442</v>
      </c>
      <c r="N2230" s="26">
        <v>1123442</v>
      </c>
      <c r="O2230" s="285"/>
      <c r="P2230" s="78"/>
      <c r="Q2230" s="202">
        <v>2019</v>
      </c>
      <c r="R2230" s="210">
        <v>20</v>
      </c>
      <c r="S2230" s="205" t="s">
        <v>1608</v>
      </c>
      <c r="T2230" s="206" t="s">
        <v>139</v>
      </c>
      <c r="U2230" s="211">
        <v>1210000</v>
      </c>
      <c r="V2230" s="211">
        <v>103334.85</v>
      </c>
      <c r="W2230" s="213">
        <v>712417.37</v>
      </c>
      <c r="X2230" s="213">
        <v>58.88</v>
      </c>
    </row>
    <row r="2231" spans="2:24" ht="15" customHeight="1">
      <c r="C2231" s="3">
        <v>20</v>
      </c>
      <c r="D2231" s="15" t="s">
        <v>1609</v>
      </c>
      <c r="E2231" s="312" t="s">
        <v>141</v>
      </c>
      <c r="G2231" s="26">
        <v>0</v>
      </c>
      <c r="H2231" s="26">
        <v>0</v>
      </c>
      <c r="I2231" s="26">
        <v>0</v>
      </c>
      <c r="J2231" s="26">
        <v>0</v>
      </c>
      <c r="K2231" s="26">
        <v>0</v>
      </c>
      <c r="L2231" s="26">
        <v>0</v>
      </c>
      <c r="M2231" s="26">
        <v>0</v>
      </c>
      <c r="N2231" s="26"/>
      <c r="O2231" s="285"/>
      <c r="P2231" s="78"/>
      <c r="Q2231" s="202">
        <v>2020</v>
      </c>
      <c r="R2231" s="210">
        <v>20</v>
      </c>
      <c r="S2231" s="205" t="s">
        <v>1609</v>
      </c>
      <c r="T2231" s="206" t="s">
        <v>141</v>
      </c>
      <c r="U2231" s="211">
        <v>0</v>
      </c>
      <c r="V2231" s="211">
        <v>0</v>
      </c>
      <c r="W2231" s="213">
        <v>0</v>
      </c>
      <c r="X2231" s="213">
        <v>0</v>
      </c>
    </row>
    <row r="2232" spans="2:24" ht="15" customHeight="1">
      <c r="C2232" s="3">
        <v>20</v>
      </c>
      <c r="D2232" s="15" t="s">
        <v>1610</v>
      </c>
      <c r="E2232" s="312" t="s">
        <v>143</v>
      </c>
      <c r="G2232" s="26">
        <v>0</v>
      </c>
      <c r="H2232" s="26">
        <v>0</v>
      </c>
      <c r="I2232" s="26">
        <v>0</v>
      </c>
      <c r="J2232" s="26">
        <v>0</v>
      </c>
      <c r="K2232" s="26">
        <v>0</v>
      </c>
      <c r="L2232" s="26">
        <v>0</v>
      </c>
      <c r="M2232" s="26">
        <v>0</v>
      </c>
      <c r="N2232" s="26"/>
      <c r="O2232" s="285"/>
      <c r="P2232" s="78"/>
      <c r="Q2232" s="202">
        <v>2021</v>
      </c>
      <c r="R2232" s="210">
        <v>20</v>
      </c>
      <c r="S2232" s="205" t="s">
        <v>1610</v>
      </c>
      <c r="T2232" s="206" t="s">
        <v>143</v>
      </c>
      <c r="U2232" s="211">
        <v>0</v>
      </c>
      <c r="V2232" s="211">
        <v>0</v>
      </c>
      <c r="W2232" s="213">
        <v>0</v>
      </c>
      <c r="X2232" s="213">
        <v>0</v>
      </c>
    </row>
    <row r="2233" spans="2:24" ht="15" customHeight="1">
      <c r="C2233" s="3">
        <v>20</v>
      </c>
      <c r="D2233" s="15" t="s">
        <v>1611</v>
      </c>
      <c r="E2233" s="312" t="s">
        <v>145</v>
      </c>
      <c r="G2233" s="26">
        <v>0</v>
      </c>
      <c r="H2233" s="26">
        <v>0</v>
      </c>
      <c r="I2233" s="26">
        <v>0</v>
      </c>
      <c r="J2233" s="26">
        <v>0</v>
      </c>
      <c r="K2233" s="26">
        <v>0</v>
      </c>
      <c r="L2233" s="26">
        <v>0</v>
      </c>
      <c r="M2233" s="26">
        <v>0</v>
      </c>
      <c r="N2233" s="26"/>
      <c r="O2233" s="285"/>
      <c r="P2233" s="78"/>
      <c r="Q2233" s="202">
        <v>2022</v>
      </c>
      <c r="R2233" s="210">
        <v>20</v>
      </c>
      <c r="S2233" s="205" t="s">
        <v>1611</v>
      </c>
      <c r="T2233" s="206" t="s">
        <v>145</v>
      </c>
      <c r="U2233" s="211">
        <v>0</v>
      </c>
      <c r="V2233" s="211">
        <v>0</v>
      </c>
      <c r="W2233" s="213">
        <v>0</v>
      </c>
      <c r="X2233" s="213">
        <v>0</v>
      </c>
    </row>
    <row r="2234" spans="2:24" ht="15" customHeight="1">
      <c r="C2234" s="3">
        <v>20</v>
      </c>
      <c r="D2234" s="15" t="s">
        <v>1612</v>
      </c>
      <c r="E2234" s="312" t="s">
        <v>147</v>
      </c>
      <c r="G2234" s="26">
        <v>0</v>
      </c>
      <c r="H2234" s="26">
        <v>0</v>
      </c>
      <c r="I2234" s="26">
        <v>0</v>
      </c>
      <c r="J2234" s="26">
        <v>0</v>
      </c>
      <c r="K2234" s="26">
        <v>0</v>
      </c>
      <c r="L2234" s="26">
        <v>0</v>
      </c>
      <c r="M2234" s="26">
        <v>0</v>
      </c>
      <c r="N2234" s="26"/>
      <c r="O2234" s="285"/>
      <c r="P2234" s="78"/>
      <c r="Q2234" s="202">
        <v>2023</v>
      </c>
      <c r="R2234" s="210">
        <v>20</v>
      </c>
      <c r="S2234" s="205" t="s">
        <v>1612</v>
      </c>
      <c r="T2234" s="206" t="s">
        <v>147</v>
      </c>
      <c r="U2234" s="211">
        <v>0</v>
      </c>
      <c r="V2234" s="211">
        <v>0</v>
      </c>
      <c r="W2234" s="213">
        <v>0</v>
      </c>
      <c r="X2234" s="213">
        <v>0</v>
      </c>
    </row>
    <row r="2235" spans="2:24" ht="15" customHeight="1">
      <c r="C2235" s="3">
        <v>20</v>
      </c>
      <c r="D2235" s="15" t="s">
        <v>1613</v>
      </c>
      <c r="E2235" s="312" t="s">
        <v>149</v>
      </c>
      <c r="G2235" s="26">
        <v>0</v>
      </c>
      <c r="H2235" s="26">
        <v>0</v>
      </c>
      <c r="I2235" s="26">
        <v>0</v>
      </c>
      <c r="J2235" s="26">
        <v>0</v>
      </c>
      <c r="K2235" s="26">
        <v>0</v>
      </c>
      <c r="L2235" s="26">
        <v>0</v>
      </c>
      <c r="M2235" s="26">
        <v>0</v>
      </c>
      <c r="N2235" s="26"/>
      <c r="O2235" s="285"/>
      <c r="P2235" s="78"/>
      <c r="Q2235" s="202">
        <v>2024</v>
      </c>
      <c r="R2235" s="210">
        <v>20</v>
      </c>
      <c r="S2235" s="205" t="s">
        <v>1613</v>
      </c>
      <c r="T2235" s="206" t="s">
        <v>149</v>
      </c>
      <c r="U2235" s="211">
        <v>0</v>
      </c>
      <c r="V2235" s="211">
        <v>0</v>
      </c>
      <c r="W2235" s="213">
        <v>0</v>
      </c>
      <c r="X2235" s="213">
        <v>0</v>
      </c>
    </row>
    <row r="2236" spans="2:24" ht="15" customHeight="1">
      <c r="C2236" s="3">
        <v>20</v>
      </c>
      <c r="D2236" s="15" t="s">
        <v>1614</v>
      </c>
      <c r="E2236" s="312" t="s">
        <v>151</v>
      </c>
      <c r="G2236" s="26">
        <v>0</v>
      </c>
      <c r="H2236" s="26">
        <v>0</v>
      </c>
      <c r="I2236" s="26">
        <v>0</v>
      </c>
      <c r="J2236" s="26">
        <v>0</v>
      </c>
      <c r="K2236" s="26">
        <v>0</v>
      </c>
      <c r="L2236" s="26">
        <v>0</v>
      </c>
      <c r="M2236" s="26">
        <v>0</v>
      </c>
      <c r="N2236" s="26"/>
      <c r="O2236" s="285"/>
      <c r="P2236" s="78"/>
      <c r="Q2236" s="202">
        <v>2025</v>
      </c>
      <c r="R2236" s="210">
        <v>20</v>
      </c>
      <c r="S2236" s="205" t="s">
        <v>1614</v>
      </c>
      <c r="T2236" s="206" t="s">
        <v>151</v>
      </c>
      <c r="U2236" s="211">
        <v>0</v>
      </c>
      <c r="V2236" s="211">
        <v>0</v>
      </c>
      <c r="W2236" s="213">
        <v>0</v>
      </c>
      <c r="X2236" s="213">
        <v>0</v>
      </c>
    </row>
    <row r="2237" spans="2:24" ht="15" customHeight="1">
      <c r="C2237" s="3">
        <v>20</v>
      </c>
      <c r="D2237" s="15" t="s">
        <v>1615</v>
      </c>
      <c r="E2237" s="312" t="s">
        <v>153</v>
      </c>
      <c r="G2237" s="26">
        <v>0</v>
      </c>
      <c r="H2237" s="26">
        <v>0</v>
      </c>
      <c r="I2237" s="26">
        <v>0</v>
      </c>
      <c r="J2237" s="26">
        <v>0</v>
      </c>
      <c r="K2237" s="26">
        <v>0</v>
      </c>
      <c r="L2237" s="26">
        <v>0</v>
      </c>
      <c r="M2237" s="26">
        <v>0</v>
      </c>
      <c r="N2237" s="26"/>
      <c r="O2237" s="285"/>
      <c r="P2237" s="78"/>
      <c r="Q2237" s="202">
        <v>2026</v>
      </c>
      <c r="R2237" s="210">
        <v>20</v>
      </c>
      <c r="S2237" s="205" t="s">
        <v>1615</v>
      </c>
      <c r="T2237" s="206" t="s">
        <v>153</v>
      </c>
      <c r="U2237" s="211">
        <v>0</v>
      </c>
      <c r="V2237" s="211">
        <v>0</v>
      </c>
      <c r="W2237" s="213">
        <v>0</v>
      </c>
      <c r="X2237" s="213">
        <v>0</v>
      </c>
    </row>
    <row r="2238" spans="2:24" ht="15" customHeight="1">
      <c r="C2238" s="3">
        <v>20</v>
      </c>
      <c r="D2238" s="15" t="s">
        <v>1616</v>
      </c>
      <c r="E2238" s="312" t="s">
        <v>157</v>
      </c>
      <c r="G2238" s="26">
        <v>0</v>
      </c>
      <c r="H2238" s="26">
        <v>0</v>
      </c>
      <c r="I2238" s="26">
        <v>0</v>
      </c>
      <c r="J2238" s="26">
        <v>0</v>
      </c>
      <c r="K2238" s="26">
        <v>0</v>
      </c>
      <c r="L2238" s="26">
        <v>0</v>
      </c>
      <c r="M2238" s="26">
        <v>0</v>
      </c>
      <c r="N2238" s="26"/>
      <c r="O2238" s="285"/>
      <c r="P2238" s="78"/>
      <c r="Q2238" s="202">
        <v>2027</v>
      </c>
      <c r="R2238" s="210">
        <v>20</v>
      </c>
      <c r="S2238" s="205" t="s">
        <v>1616</v>
      </c>
      <c r="T2238" s="206" t="s">
        <v>157</v>
      </c>
      <c r="U2238" s="211">
        <v>0</v>
      </c>
      <c r="V2238" s="211">
        <v>0</v>
      </c>
      <c r="W2238" s="213">
        <v>0</v>
      </c>
      <c r="X2238" s="213">
        <v>0</v>
      </c>
    </row>
    <row r="2239" spans="2:24" ht="15" customHeight="1">
      <c r="C2239" s="3">
        <v>20</v>
      </c>
      <c r="D2239" s="15" t="s">
        <v>1617</v>
      </c>
      <c r="E2239" s="312" t="s">
        <v>159</v>
      </c>
      <c r="G2239" s="26">
        <v>0</v>
      </c>
      <c r="H2239" s="26">
        <v>0</v>
      </c>
      <c r="I2239" s="26">
        <v>0</v>
      </c>
      <c r="J2239" s="26">
        <v>0</v>
      </c>
      <c r="K2239" s="26">
        <v>0</v>
      </c>
      <c r="L2239" s="26">
        <v>0</v>
      </c>
      <c r="M2239" s="26">
        <v>0</v>
      </c>
      <c r="N2239" s="26"/>
      <c r="O2239" s="285"/>
      <c r="P2239" s="78"/>
      <c r="Q2239" s="202">
        <v>2028</v>
      </c>
      <c r="R2239" s="210">
        <v>20</v>
      </c>
      <c r="S2239" s="205" t="s">
        <v>1617</v>
      </c>
      <c r="T2239" s="206" t="s">
        <v>159</v>
      </c>
      <c r="U2239" s="211">
        <v>0</v>
      </c>
      <c r="V2239" s="211">
        <v>0</v>
      </c>
      <c r="W2239" s="213">
        <v>0</v>
      </c>
      <c r="X2239" s="213">
        <v>0</v>
      </c>
    </row>
    <row r="2240" spans="2:24" ht="15" customHeight="1">
      <c r="C2240" s="3">
        <v>20</v>
      </c>
      <c r="D2240" s="15" t="s">
        <v>1618</v>
      </c>
      <c r="E2240" s="312" t="s">
        <v>229</v>
      </c>
      <c r="G2240" s="26">
        <v>0</v>
      </c>
      <c r="H2240" s="26">
        <v>0</v>
      </c>
      <c r="I2240" s="26">
        <v>0</v>
      </c>
      <c r="J2240" s="26">
        <v>0</v>
      </c>
      <c r="K2240" s="26">
        <v>0</v>
      </c>
      <c r="L2240" s="26">
        <v>0</v>
      </c>
      <c r="M2240" s="26">
        <v>0</v>
      </c>
      <c r="N2240" s="26"/>
      <c r="O2240" s="285"/>
      <c r="P2240" s="78"/>
      <c r="Q2240" s="202">
        <v>2029</v>
      </c>
      <c r="R2240" s="210">
        <v>20</v>
      </c>
      <c r="S2240" s="205" t="s">
        <v>1618</v>
      </c>
      <c r="T2240" s="206" t="s">
        <v>229</v>
      </c>
      <c r="U2240" s="211">
        <v>0</v>
      </c>
      <c r="V2240" s="211">
        <v>0</v>
      </c>
      <c r="W2240" s="213">
        <v>0</v>
      </c>
      <c r="X2240" s="213">
        <v>0</v>
      </c>
    </row>
    <row r="2241" spans="1:24" ht="15" customHeight="1">
      <c r="C2241" s="3">
        <v>20</v>
      </c>
      <c r="D2241" s="15" t="s">
        <v>1619</v>
      </c>
      <c r="E2241" s="312" t="s">
        <v>1429</v>
      </c>
      <c r="G2241" s="26">
        <v>0</v>
      </c>
      <c r="H2241" s="26">
        <v>158525</v>
      </c>
      <c r="I2241" s="26">
        <v>158525</v>
      </c>
      <c r="J2241" s="26">
        <v>158468</v>
      </c>
      <c r="K2241" s="26">
        <v>181500</v>
      </c>
      <c r="L2241" s="26">
        <v>105875</v>
      </c>
      <c r="M2241" s="26">
        <v>181500</v>
      </c>
      <c r="N2241" s="26">
        <v>316593</v>
      </c>
      <c r="O2241" s="285" t="s">
        <v>2919</v>
      </c>
      <c r="P2241" s="78"/>
      <c r="Q2241" s="202">
        <v>2030</v>
      </c>
      <c r="R2241" s="210">
        <v>20</v>
      </c>
      <c r="S2241" s="205" t="s">
        <v>1619</v>
      </c>
      <c r="T2241" s="206" t="s">
        <v>1429</v>
      </c>
      <c r="U2241" s="211">
        <v>181500</v>
      </c>
      <c r="V2241" s="211">
        <v>15125</v>
      </c>
      <c r="W2241" s="213">
        <v>121000</v>
      </c>
      <c r="X2241" s="213">
        <v>66.67</v>
      </c>
    </row>
    <row r="2242" spans="1:24" ht="15" customHeight="1">
      <c r="C2242" s="3">
        <v>20</v>
      </c>
      <c r="D2242" s="15" t="s">
        <v>1620</v>
      </c>
      <c r="E2242" s="312" t="s">
        <v>1431</v>
      </c>
      <c r="G2242" s="26">
        <v>0</v>
      </c>
      <c r="H2242" s="26">
        <v>0</v>
      </c>
      <c r="I2242" s="26">
        <v>0</v>
      </c>
      <c r="J2242" s="26">
        <v>0</v>
      </c>
      <c r="K2242" s="26">
        <v>0</v>
      </c>
      <c r="L2242" s="26">
        <v>0</v>
      </c>
      <c r="M2242" s="26"/>
      <c r="N2242" s="26"/>
      <c r="O2242" s="285"/>
      <c r="P2242" s="81"/>
      <c r="Q2242" s="202">
        <v>2031</v>
      </c>
      <c r="R2242" s="210">
        <v>20</v>
      </c>
      <c r="S2242" s="205" t="s">
        <v>1620</v>
      </c>
      <c r="T2242" s="206" t="s">
        <v>1431</v>
      </c>
      <c r="U2242" s="211">
        <v>0</v>
      </c>
      <c r="V2242" s="211">
        <v>0</v>
      </c>
      <c r="W2242" s="213">
        <v>0</v>
      </c>
      <c r="X2242" s="213">
        <v>0</v>
      </c>
    </row>
    <row r="2243" spans="1:24" ht="15" customHeight="1">
      <c r="C2243" s="3">
        <v>20</v>
      </c>
      <c r="D2243" s="15" t="s">
        <v>1621</v>
      </c>
      <c r="E2243" s="312" t="s">
        <v>1433</v>
      </c>
      <c r="G2243" s="26">
        <v>0</v>
      </c>
      <c r="H2243" s="26">
        <v>67368</v>
      </c>
      <c r="I2243" s="26">
        <v>67368</v>
      </c>
      <c r="J2243" s="26">
        <v>67368</v>
      </c>
      <c r="K2243" s="26">
        <v>67368</v>
      </c>
      <c r="L2243" s="26">
        <v>39298</v>
      </c>
      <c r="M2243" s="26">
        <v>67368</v>
      </c>
      <c r="N2243" s="26">
        <v>72964</v>
      </c>
      <c r="O2243" s="285" t="s">
        <v>2919</v>
      </c>
      <c r="P2243" s="83"/>
      <c r="Q2243" s="202">
        <v>2032</v>
      </c>
      <c r="R2243" s="210">
        <v>20</v>
      </c>
      <c r="S2243" s="205" t="s">
        <v>1621</v>
      </c>
      <c r="T2243" s="206" t="s">
        <v>1433</v>
      </c>
      <c r="U2243" s="211">
        <v>67368</v>
      </c>
      <c r="V2243" s="211">
        <v>5614</v>
      </c>
      <c r="W2243" s="213">
        <v>44912</v>
      </c>
      <c r="X2243" s="213">
        <v>66.67</v>
      </c>
    </row>
    <row r="2244" spans="1:24" ht="15" customHeight="1">
      <c r="C2244" s="3">
        <v>20</v>
      </c>
      <c r="D2244" s="15" t="s">
        <v>1622</v>
      </c>
      <c r="E2244" s="312" t="s">
        <v>2555</v>
      </c>
      <c r="G2244" s="26">
        <v>0</v>
      </c>
      <c r="H2244" s="26">
        <v>417</v>
      </c>
      <c r="I2244" s="26">
        <v>417</v>
      </c>
      <c r="J2244" s="26">
        <v>417</v>
      </c>
      <c r="K2244" s="26">
        <v>417</v>
      </c>
      <c r="L2244" s="26">
        <v>243</v>
      </c>
      <c r="M2244" s="26">
        <v>417</v>
      </c>
      <c r="N2244" s="26">
        <v>417</v>
      </c>
      <c r="O2244" s="285"/>
      <c r="P2244" s="78"/>
      <c r="Q2244" s="202">
        <v>2033</v>
      </c>
      <c r="R2244" s="210">
        <v>20</v>
      </c>
      <c r="S2244" s="205" t="s">
        <v>1622</v>
      </c>
      <c r="T2244" s="206" t="s">
        <v>2555</v>
      </c>
      <c r="U2244" s="211">
        <v>417</v>
      </c>
      <c r="V2244" s="211">
        <v>34.75</v>
      </c>
      <c r="W2244" s="213">
        <v>278</v>
      </c>
      <c r="X2244" s="213">
        <v>66.67</v>
      </c>
    </row>
    <row r="2245" spans="1:24" ht="15" customHeight="1">
      <c r="C2245" s="3">
        <v>20</v>
      </c>
      <c r="D2245" s="15" t="s">
        <v>1623</v>
      </c>
      <c r="E2245" s="312" t="s">
        <v>162</v>
      </c>
      <c r="G2245" s="26">
        <v>0</v>
      </c>
      <c r="H2245" s="26">
        <v>0</v>
      </c>
      <c r="I2245" s="26">
        <v>0</v>
      </c>
      <c r="J2245" s="26">
        <v>0</v>
      </c>
      <c r="K2245" s="26">
        <v>0</v>
      </c>
      <c r="L2245" s="26">
        <v>0</v>
      </c>
      <c r="M2245" s="26">
        <v>0</v>
      </c>
      <c r="N2245" s="26">
        <v>0</v>
      </c>
      <c r="O2245" s="285"/>
      <c r="P2245" s="78"/>
      <c r="Q2245" s="202">
        <v>2034</v>
      </c>
      <c r="R2245" s="210">
        <v>20</v>
      </c>
      <c r="S2245" s="205" t="s">
        <v>1623</v>
      </c>
      <c r="T2245" s="206" t="s">
        <v>162</v>
      </c>
      <c r="U2245" s="211">
        <v>0</v>
      </c>
      <c r="V2245" s="211">
        <v>0</v>
      </c>
      <c r="W2245" s="213">
        <v>0</v>
      </c>
      <c r="X2245" s="213">
        <v>0</v>
      </c>
    </row>
    <row r="2246" spans="1:24" ht="15" customHeight="1">
      <c r="G2246" s="26"/>
      <c r="H2246" s="26"/>
      <c r="I2246" s="26"/>
      <c r="J2246" s="26"/>
      <c r="K2246" s="26"/>
      <c r="L2246" s="26"/>
      <c r="M2246" s="26"/>
      <c r="N2246" s="26"/>
      <c r="P2246" s="73"/>
      <c r="Q2246" s="202">
        <v>2035</v>
      </c>
      <c r="R2246" s="210">
        <v>20</v>
      </c>
      <c r="S2246" s="205" t="s">
        <v>2623</v>
      </c>
      <c r="T2246" s="206"/>
      <c r="U2246" s="211"/>
      <c r="V2246" s="211"/>
      <c r="W2246" s="213"/>
      <c r="X2246" s="213"/>
    </row>
    <row r="2247" spans="1:24" s="22" customFormat="1" ht="15" customHeight="1">
      <c r="A2247" s="5" t="s">
        <v>135</v>
      </c>
      <c r="B2247" s="62" t="s">
        <v>2317</v>
      </c>
      <c r="C2247" s="3"/>
      <c r="D2247" s="323" t="s">
        <v>3092</v>
      </c>
      <c r="E2247" s="323"/>
      <c r="F2247" s="324"/>
      <c r="G2247" s="325">
        <f>SUM(G2226:G2246)</f>
        <v>962407</v>
      </c>
      <c r="H2247" s="325">
        <f t="shared" ref="H2247:N2247" si="180">SUM(H2226:H2246)</f>
        <v>1328563</v>
      </c>
      <c r="I2247" s="325">
        <f t="shared" si="180"/>
        <v>1352092</v>
      </c>
      <c r="J2247" s="325">
        <f t="shared" si="180"/>
        <v>1393356</v>
      </c>
      <c r="K2247" s="325">
        <f t="shared" si="180"/>
        <v>1459285</v>
      </c>
      <c r="L2247" s="325">
        <f t="shared" si="180"/>
        <v>754499</v>
      </c>
      <c r="M2247" s="325">
        <f t="shared" si="180"/>
        <v>1372727</v>
      </c>
      <c r="N2247" s="325">
        <f t="shared" si="180"/>
        <v>1513416</v>
      </c>
      <c r="O2247" s="290"/>
      <c r="P2247" s="73"/>
      <c r="Q2247" s="202">
        <v>2036</v>
      </c>
      <c r="R2247" s="210">
        <v>20</v>
      </c>
      <c r="S2247" s="205" t="s">
        <v>135</v>
      </c>
      <c r="T2247" s="206"/>
      <c r="U2247" s="211">
        <v>1459285</v>
      </c>
      <c r="V2247" s="211">
        <v>124108.6</v>
      </c>
      <c r="W2247" s="213">
        <v>878607.37</v>
      </c>
      <c r="X2247" s="213">
        <v>0</v>
      </c>
    </row>
    <row r="2248" spans="1:24" s="46" customFormat="1" ht="15" customHeight="1">
      <c r="B2248" s="14"/>
      <c r="C2248" s="3"/>
      <c r="D2248" s="47"/>
      <c r="E2248" s="47"/>
      <c r="F2248" s="191"/>
      <c r="G2248" s="48"/>
      <c r="H2248" s="48"/>
      <c r="I2248" s="48"/>
      <c r="J2248" s="48"/>
      <c r="K2248" s="48"/>
      <c r="L2248" s="48"/>
      <c r="M2248" s="48"/>
      <c r="N2248" s="48"/>
      <c r="O2248" s="289"/>
      <c r="P2248" s="73"/>
      <c r="Q2248" s="202">
        <v>2037</v>
      </c>
      <c r="R2248" s="210">
        <v>20</v>
      </c>
      <c r="S2248" s="205" t="s">
        <v>163</v>
      </c>
      <c r="T2248" s="206"/>
      <c r="U2248" s="211"/>
      <c r="V2248" s="211"/>
      <c r="W2248" s="213"/>
      <c r="X2248" s="213"/>
    </row>
    <row r="2249" spans="1:24" ht="15" customHeight="1">
      <c r="D2249" s="47" t="s">
        <v>2351</v>
      </c>
      <c r="G2249" s="26"/>
      <c r="H2249" s="26"/>
      <c r="I2249" s="26"/>
      <c r="J2249" s="26"/>
      <c r="K2249" s="26"/>
      <c r="L2249" s="26"/>
      <c r="M2249" s="26"/>
      <c r="N2249" s="26"/>
      <c r="P2249" s="73"/>
      <c r="Q2249" s="202">
        <v>2038</v>
      </c>
      <c r="R2249" s="210">
        <v>20</v>
      </c>
      <c r="S2249" s="205" t="s">
        <v>2627</v>
      </c>
      <c r="T2249" s="206"/>
      <c r="U2249" s="211"/>
      <c r="V2249" s="211"/>
      <c r="W2249" s="213"/>
      <c r="X2249" s="213"/>
    </row>
    <row r="2250" spans="1:24" ht="15" customHeight="1">
      <c r="G2250" s="26"/>
      <c r="H2250" s="26"/>
      <c r="I2250" s="26"/>
      <c r="J2250" s="26"/>
      <c r="K2250" s="26"/>
      <c r="L2250" s="26"/>
      <c r="M2250" s="26"/>
      <c r="N2250" s="26"/>
      <c r="P2250" s="73"/>
    </row>
    <row r="2251" spans="1:24" ht="15" customHeight="1">
      <c r="C2251" s="3">
        <v>20</v>
      </c>
      <c r="D2251" s="15" t="s">
        <v>1624</v>
      </c>
      <c r="E2251" s="312" t="s">
        <v>433</v>
      </c>
      <c r="G2251" s="26">
        <v>0</v>
      </c>
      <c r="H2251" s="26">
        <v>0</v>
      </c>
      <c r="I2251" s="26">
        <v>0</v>
      </c>
      <c r="J2251" s="26">
        <v>0</v>
      </c>
      <c r="K2251" s="26">
        <v>0</v>
      </c>
      <c r="L2251" s="26">
        <v>0</v>
      </c>
      <c r="M2251" s="26">
        <v>0</v>
      </c>
      <c r="N2251" s="26">
        <v>0</v>
      </c>
      <c r="O2251" s="285"/>
      <c r="P2251" s="73"/>
      <c r="Q2251" s="202">
        <v>2039</v>
      </c>
      <c r="R2251" s="210">
        <v>20</v>
      </c>
      <c r="S2251" s="205" t="s">
        <v>1624</v>
      </c>
      <c r="T2251" s="206" t="s">
        <v>433</v>
      </c>
      <c r="U2251" s="211">
        <v>0</v>
      </c>
      <c r="V2251" s="211">
        <v>0</v>
      </c>
      <c r="W2251" s="213">
        <v>0</v>
      </c>
      <c r="X2251" s="213">
        <v>0</v>
      </c>
    </row>
    <row r="2252" spans="1:24" ht="15" customHeight="1">
      <c r="C2252" s="3">
        <v>20</v>
      </c>
      <c r="D2252" s="15" t="s">
        <v>1625</v>
      </c>
      <c r="E2252" s="312" t="s">
        <v>435</v>
      </c>
      <c r="G2252" s="26">
        <v>0</v>
      </c>
      <c r="H2252" s="26">
        <v>0</v>
      </c>
      <c r="I2252" s="26">
        <v>0</v>
      </c>
      <c r="J2252" s="26">
        <v>0</v>
      </c>
      <c r="K2252" s="26">
        <v>0</v>
      </c>
      <c r="L2252" s="26">
        <v>0</v>
      </c>
      <c r="M2252" s="26">
        <v>0</v>
      </c>
      <c r="N2252" s="26">
        <v>0</v>
      </c>
      <c r="O2252" s="285"/>
      <c r="P2252" s="73"/>
      <c r="Q2252" s="202">
        <v>2040</v>
      </c>
      <c r="R2252" s="210">
        <v>20</v>
      </c>
      <c r="S2252" s="205" t="s">
        <v>1625</v>
      </c>
      <c r="T2252" s="206" t="s">
        <v>435</v>
      </c>
      <c r="U2252" s="211">
        <v>0</v>
      </c>
      <c r="V2252" s="211">
        <v>0</v>
      </c>
      <c r="W2252" s="213">
        <v>0</v>
      </c>
      <c r="X2252" s="213">
        <v>0</v>
      </c>
    </row>
    <row r="2253" spans="1:24" ht="15" customHeight="1">
      <c r="C2253" s="3">
        <v>20</v>
      </c>
      <c r="D2253" s="15" t="s">
        <v>1626</v>
      </c>
      <c r="E2253" s="312" t="s">
        <v>232</v>
      </c>
      <c r="G2253" s="26">
        <v>0</v>
      </c>
      <c r="H2253" s="26">
        <v>0</v>
      </c>
      <c r="I2253" s="26">
        <v>0</v>
      </c>
      <c r="J2253" s="26">
        <v>0</v>
      </c>
      <c r="K2253" s="26">
        <v>0</v>
      </c>
      <c r="L2253" s="26">
        <v>0</v>
      </c>
      <c r="M2253" s="26">
        <v>0</v>
      </c>
      <c r="N2253" s="26">
        <v>0</v>
      </c>
      <c r="O2253" s="285"/>
      <c r="P2253" s="73"/>
      <c r="Q2253" s="202">
        <v>2041</v>
      </c>
      <c r="R2253" s="210">
        <v>20</v>
      </c>
      <c r="S2253" s="205" t="s">
        <v>1626</v>
      </c>
      <c r="T2253" s="206" t="s">
        <v>232</v>
      </c>
      <c r="U2253" s="211">
        <v>0</v>
      </c>
      <c r="V2253" s="211">
        <v>0</v>
      </c>
      <c r="W2253" s="213">
        <v>0</v>
      </c>
      <c r="X2253" s="213">
        <v>0</v>
      </c>
    </row>
    <row r="2254" spans="1:24" ht="15" customHeight="1">
      <c r="C2254" s="3">
        <v>20</v>
      </c>
      <c r="D2254" s="15" t="s">
        <v>1627</v>
      </c>
      <c r="E2254" s="312" t="s">
        <v>440</v>
      </c>
      <c r="G2254" s="26">
        <v>0</v>
      </c>
      <c r="H2254" s="26">
        <v>0</v>
      </c>
      <c r="I2254" s="26">
        <v>0</v>
      </c>
      <c r="J2254" s="26">
        <v>0</v>
      </c>
      <c r="K2254" s="26">
        <v>0</v>
      </c>
      <c r="L2254" s="26">
        <v>0</v>
      </c>
      <c r="M2254" s="26">
        <v>0</v>
      </c>
      <c r="N2254" s="26">
        <v>0</v>
      </c>
      <c r="O2254" s="285"/>
      <c r="P2254" s="73"/>
      <c r="Q2254" s="202">
        <v>2042</v>
      </c>
      <c r="R2254" s="210">
        <v>20</v>
      </c>
      <c r="S2254" s="205" t="s">
        <v>1627</v>
      </c>
      <c r="T2254" s="206" t="s">
        <v>440</v>
      </c>
      <c r="U2254" s="211">
        <v>0</v>
      </c>
      <c r="V2254" s="211">
        <v>0</v>
      </c>
      <c r="W2254" s="213">
        <v>0</v>
      </c>
      <c r="X2254" s="213">
        <v>0</v>
      </c>
    </row>
    <row r="2255" spans="1:24" ht="15" customHeight="1">
      <c r="C2255" s="3">
        <v>20</v>
      </c>
      <c r="D2255" s="15" t="s">
        <v>1628</v>
      </c>
      <c r="E2255" s="312" t="s">
        <v>236</v>
      </c>
      <c r="G2255" s="26">
        <v>0</v>
      </c>
      <c r="H2255" s="26">
        <v>0</v>
      </c>
      <c r="I2255" s="26">
        <v>0</v>
      </c>
      <c r="J2255" s="26">
        <v>0</v>
      </c>
      <c r="K2255" s="26">
        <v>0</v>
      </c>
      <c r="L2255" s="26">
        <v>0</v>
      </c>
      <c r="M2255" s="26">
        <v>0</v>
      </c>
      <c r="N2255" s="26">
        <v>0</v>
      </c>
      <c r="O2255" s="285"/>
      <c r="P2255" s="73"/>
      <c r="Q2255" s="202">
        <v>2043</v>
      </c>
      <c r="R2255" s="210">
        <v>20</v>
      </c>
      <c r="S2255" s="205" t="s">
        <v>1628</v>
      </c>
      <c r="T2255" s="206" t="s">
        <v>236</v>
      </c>
      <c r="U2255" s="211">
        <v>0</v>
      </c>
      <c r="V2255" s="211">
        <v>0</v>
      </c>
      <c r="W2255" s="213">
        <v>0</v>
      </c>
      <c r="X2255" s="213">
        <v>0</v>
      </c>
    </row>
    <row r="2256" spans="1:24" ht="15" customHeight="1">
      <c r="C2256" s="3">
        <v>20</v>
      </c>
      <c r="D2256" s="15" t="s">
        <v>1629</v>
      </c>
      <c r="E2256" s="312" t="s">
        <v>1630</v>
      </c>
      <c r="G2256" s="26">
        <v>0</v>
      </c>
      <c r="H2256" s="26">
        <v>0</v>
      </c>
      <c r="I2256" s="26">
        <v>0</v>
      </c>
      <c r="J2256" s="26">
        <v>0</v>
      </c>
      <c r="K2256" s="26">
        <v>0</v>
      </c>
      <c r="L2256" s="26">
        <v>0</v>
      </c>
      <c r="M2256" s="26">
        <v>0</v>
      </c>
      <c r="N2256" s="26">
        <v>0</v>
      </c>
      <c r="O2256" s="285"/>
      <c r="P2256" s="73"/>
      <c r="Q2256" s="202">
        <v>2044</v>
      </c>
      <c r="R2256" s="210">
        <v>20</v>
      </c>
      <c r="S2256" s="205" t="s">
        <v>1629</v>
      </c>
      <c r="T2256" s="206" t="s">
        <v>1630</v>
      </c>
      <c r="U2256" s="211">
        <v>0</v>
      </c>
      <c r="V2256" s="211">
        <v>0</v>
      </c>
      <c r="W2256" s="213">
        <v>0</v>
      </c>
      <c r="X2256" s="213">
        <v>0</v>
      </c>
    </row>
    <row r="2257" spans="1:24" ht="15" customHeight="1">
      <c r="C2257" s="3">
        <v>20</v>
      </c>
      <c r="D2257" s="15" t="s">
        <v>1631</v>
      </c>
      <c r="E2257" s="312" t="s">
        <v>329</v>
      </c>
      <c r="G2257" s="26">
        <v>0</v>
      </c>
      <c r="H2257" s="26">
        <v>0</v>
      </c>
      <c r="I2257" s="26">
        <v>0</v>
      </c>
      <c r="J2257" s="26">
        <v>0</v>
      </c>
      <c r="K2257" s="26">
        <v>0</v>
      </c>
      <c r="L2257" s="26">
        <v>0</v>
      </c>
      <c r="M2257" s="26">
        <v>0</v>
      </c>
      <c r="N2257" s="26">
        <v>0</v>
      </c>
      <c r="O2257" s="285"/>
      <c r="P2257" s="73"/>
      <c r="Q2257" s="202">
        <v>2045</v>
      </c>
      <c r="R2257" s="210">
        <v>20</v>
      </c>
      <c r="S2257" s="205" t="s">
        <v>1631</v>
      </c>
      <c r="T2257" s="206" t="s">
        <v>329</v>
      </c>
      <c r="U2257" s="211">
        <v>0</v>
      </c>
      <c r="V2257" s="211">
        <v>0</v>
      </c>
      <c r="W2257" s="213">
        <v>0</v>
      </c>
      <c r="X2257" s="213">
        <v>0</v>
      </c>
    </row>
    <row r="2258" spans="1:24" ht="15" customHeight="1">
      <c r="C2258" s="3">
        <v>20</v>
      </c>
      <c r="D2258" s="15" t="s">
        <v>1632</v>
      </c>
      <c r="E2258" s="312" t="s">
        <v>165</v>
      </c>
      <c r="G2258" s="26">
        <v>0</v>
      </c>
      <c r="H2258" s="26">
        <v>0</v>
      </c>
      <c r="I2258" s="26">
        <v>0</v>
      </c>
      <c r="J2258" s="26">
        <v>0</v>
      </c>
      <c r="K2258" s="26">
        <v>0</v>
      </c>
      <c r="L2258" s="26">
        <v>0</v>
      </c>
      <c r="M2258" s="26">
        <v>0</v>
      </c>
      <c r="N2258" s="26">
        <v>0</v>
      </c>
      <c r="O2258" s="285"/>
      <c r="P2258" s="73"/>
      <c r="Q2258" s="202">
        <v>2046</v>
      </c>
      <c r="R2258" s="210">
        <v>20</v>
      </c>
      <c r="S2258" s="205" t="s">
        <v>1632</v>
      </c>
      <c r="T2258" s="206" t="s">
        <v>165</v>
      </c>
      <c r="U2258" s="211">
        <v>0</v>
      </c>
      <c r="V2258" s="211">
        <v>0</v>
      </c>
      <c r="W2258" s="213">
        <v>0</v>
      </c>
      <c r="X2258" s="213">
        <v>0</v>
      </c>
    </row>
    <row r="2259" spans="1:24" ht="15" customHeight="1">
      <c r="C2259" s="3">
        <v>20</v>
      </c>
      <c r="D2259" s="15" t="s">
        <v>1633</v>
      </c>
      <c r="E2259" s="312" t="s">
        <v>167</v>
      </c>
      <c r="G2259" s="26">
        <v>0</v>
      </c>
      <c r="H2259" s="26">
        <v>0</v>
      </c>
      <c r="I2259" s="26">
        <v>0</v>
      </c>
      <c r="J2259" s="26">
        <v>0</v>
      </c>
      <c r="K2259" s="26">
        <v>0</v>
      </c>
      <c r="L2259" s="26">
        <v>0</v>
      </c>
      <c r="M2259" s="26">
        <v>0</v>
      </c>
      <c r="N2259" s="26">
        <v>0</v>
      </c>
      <c r="O2259" s="285"/>
      <c r="P2259" s="73"/>
      <c r="Q2259" s="202">
        <v>2047</v>
      </c>
      <c r="R2259" s="210">
        <v>20</v>
      </c>
      <c r="S2259" s="205" t="s">
        <v>1633</v>
      </c>
      <c r="T2259" s="206" t="s">
        <v>167</v>
      </c>
      <c r="U2259" s="211">
        <v>0</v>
      </c>
      <c r="V2259" s="211">
        <v>0</v>
      </c>
      <c r="W2259" s="213">
        <v>0</v>
      </c>
      <c r="X2259" s="213">
        <v>0</v>
      </c>
    </row>
    <row r="2260" spans="1:24" ht="15" customHeight="1">
      <c r="C2260" s="3">
        <v>20</v>
      </c>
      <c r="D2260" s="15" t="s">
        <v>1634</v>
      </c>
      <c r="E2260" s="312" t="s">
        <v>169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85"/>
      <c r="P2260" s="73"/>
      <c r="Q2260" s="202">
        <v>2048</v>
      </c>
      <c r="R2260" s="210">
        <v>20</v>
      </c>
      <c r="S2260" s="205" t="s">
        <v>1634</v>
      </c>
      <c r="T2260" s="206" t="s">
        <v>169</v>
      </c>
      <c r="U2260" s="211">
        <v>0</v>
      </c>
      <c r="V2260" s="211">
        <v>0</v>
      </c>
      <c r="W2260" s="213">
        <v>0</v>
      </c>
      <c r="X2260" s="213">
        <v>0</v>
      </c>
    </row>
    <row r="2261" spans="1:24" ht="15" customHeight="1">
      <c r="C2261" s="3">
        <v>20</v>
      </c>
      <c r="D2261" s="15" t="s">
        <v>1635</v>
      </c>
      <c r="E2261" s="312" t="s">
        <v>171</v>
      </c>
      <c r="G2261" s="26">
        <v>35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85"/>
      <c r="P2261" s="73"/>
      <c r="Q2261" s="202">
        <v>2049</v>
      </c>
      <c r="R2261" s="210">
        <v>20</v>
      </c>
      <c r="S2261" s="205" t="s">
        <v>1635</v>
      </c>
      <c r="T2261" s="206" t="s">
        <v>171</v>
      </c>
      <c r="U2261" s="211">
        <v>0</v>
      </c>
      <c r="V2261" s="211">
        <v>0</v>
      </c>
      <c r="W2261" s="213">
        <v>0</v>
      </c>
      <c r="X2261" s="213">
        <v>0</v>
      </c>
    </row>
    <row r="2262" spans="1:24" ht="15" customHeight="1">
      <c r="C2262" s="3">
        <v>20</v>
      </c>
      <c r="D2262" s="15" t="s">
        <v>1636</v>
      </c>
      <c r="E2262" s="312" t="s">
        <v>173</v>
      </c>
      <c r="G2262" s="26">
        <v>38</v>
      </c>
      <c r="H2262" s="26">
        <v>0</v>
      </c>
      <c r="I2262" s="26">
        <v>0</v>
      </c>
      <c r="J2262" s="26">
        <v>0</v>
      </c>
      <c r="K2262" s="26">
        <v>0</v>
      </c>
      <c r="L2262" s="26">
        <v>0</v>
      </c>
      <c r="M2262" s="26">
        <v>0</v>
      </c>
      <c r="N2262" s="26">
        <v>0</v>
      </c>
      <c r="O2262" s="285"/>
      <c r="P2262" s="73"/>
      <c r="Q2262" s="202">
        <v>2050</v>
      </c>
      <c r="R2262" s="210">
        <v>20</v>
      </c>
      <c r="S2262" s="205" t="s">
        <v>1636</v>
      </c>
      <c r="T2262" s="206" t="s">
        <v>173</v>
      </c>
      <c r="U2262" s="211">
        <v>0</v>
      </c>
      <c r="V2262" s="211">
        <v>0</v>
      </c>
      <c r="W2262" s="213">
        <v>0</v>
      </c>
      <c r="X2262" s="213">
        <v>0</v>
      </c>
    </row>
    <row r="2263" spans="1:24" ht="15" customHeight="1">
      <c r="C2263" s="3">
        <v>20</v>
      </c>
      <c r="D2263" s="15" t="s">
        <v>1637</v>
      </c>
      <c r="E2263" s="312" t="s">
        <v>175</v>
      </c>
      <c r="G2263" s="26">
        <v>0</v>
      </c>
      <c r="H2263" s="26">
        <v>0</v>
      </c>
      <c r="I2263" s="26">
        <v>0</v>
      </c>
      <c r="J2263" s="26">
        <v>0</v>
      </c>
      <c r="K2263" s="26">
        <v>0</v>
      </c>
      <c r="L2263" s="26">
        <v>0</v>
      </c>
      <c r="M2263" s="26">
        <v>0</v>
      </c>
      <c r="N2263" s="26">
        <v>0</v>
      </c>
      <c r="O2263" s="285"/>
      <c r="P2263" s="73"/>
      <c r="Q2263" s="202">
        <v>2051</v>
      </c>
      <c r="R2263" s="210">
        <v>20</v>
      </c>
      <c r="S2263" s="205" t="s">
        <v>1637</v>
      </c>
      <c r="T2263" s="206" t="s">
        <v>175</v>
      </c>
      <c r="U2263" s="211">
        <v>0</v>
      </c>
      <c r="V2263" s="211">
        <v>0</v>
      </c>
      <c r="W2263" s="213">
        <v>0</v>
      </c>
      <c r="X2263" s="213">
        <v>0</v>
      </c>
    </row>
    <row r="2264" spans="1:24" ht="15" customHeight="1">
      <c r="C2264" s="3">
        <v>20</v>
      </c>
      <c r="D2264" s="15" t="s">
        <v>1638</v>
      </c>
      <c r="E2264" s="312" t="s">
        <v>244</v>
      </c>
      <c r="G2264" s="26">
        <v>0</v>
      </c>
      <c r="H2264" s="26">
        <v>0</v>
      </c>
      <c r="I2264" s="26">
        <v>0</v>
      </c>
      <c r="J2264" s="26">
        <v>0</v>
      </c>
      <c r="K2264" s="26">
        <v>0</v>
      </c>
      <c r="L2264" s="26">
        <v>0</v>
      </c>
      <c r="M2264" s="26">
        <v>0</v>
      </c>
      <c r="N2264" s="26">
        <v>0</v>
      </c>
      <c r="O2264" s="285"/>
      <c r="P2264" s="73"/>
      <c r="Q2264" s="202">
        <v>2052</v>
      </c>
      <c r="R2264" s="210">
        <v>20</v>
      </c>
      <c r="S2264" s="205" t="s">
        <v>1638</v>
      </c>
      <c r="T2264" s="206" t="s">
        <v>244</v>
      </c>
      <c r="U2264" s="211">
        <v>0</v>
      </c>
      <c r="V2264" s="211">
        <v>0</v>
      </c>
      <c r="W2264" s="213">
        <v>0</v>
      </c>
      <c r="X2264" s="213">
        <v>0</v>
      </c>
    </row>
    <row r="2265" spans="1:24" ht="15" customHeight="1">
      <c r="G2265" s="26"/>
      <c r="H2265" s="26"/>
      <c r="I2265" s="26"/>
      <c r="J2265" s="26"/>
      <c r="K2265" s="26"/>
      <c r="L2265" s="26"/>
      <c r="M2265" s="26"/>
      <c r="N2265" s="26"/>
      <c r="P2265" s="78"/>
      <c r="Q2265" s="202">
        <v>2053</v>
      </c>
      <c r="R2265" s="210">
        <v>20</v>
      </c>
      <c r="S2265" s="205" t="s">
        <v>2623</v>
      </c>
      <c r="T2265" s="206"/>
      <c r="U2265" s="211"/>
      <c r="V2265" s="211"/>
      <c r="W2265" s="213"/>
      <c r="X2265" s="213"/>
    </row>
    <row r="2266" spans="1:24" s="23" customFormat="1" ht="15" customHeight="1">
      <c r="A2266" s="5" t="s">
        <v>163</v>
      </c>
      <c r="B2266" s="62" t="s">
        <v>2317</v>
      </c>
      <c r="C2266" s="3"/>
      <c r="D2266" s="323" t="s">
        <v>2352</v>
      </c>
      <c r="E2266" s="323"/>
      <c r="F2266" s="324"/>
      <c r="G2266" s="325">
        <f>SUM(G2249:G2265)</f>
        <v>73</v>
      </c>
      <c r="H2266" s="325">
        <f t="shared" ref="H2266:N2266" si="181">SUM(H2249:H2265)</f>
        <v>0</v>
      </c>
      <c r="I2266" s="325">
        <f t="shared" si="181"/>
        <v>0</v>
      </c>
      <c r="J2266" s="325">
        <f t="shared" si="181"/>
        <v>0</v>
      </c>
      <c r="K2266" s="325">
        <f t="shared" si="181"/>
        <v>0</v>
      </c>
      <c r="L2266" s="325">
        <f t="shared" si="181"/>
        <v>0</v>
      </c>
      <c r="M2266" s="325">
        <f t="shared" si="181"/>
        <v>0</v>
      </c>
      <c r="N2266" s="325">
        <f t="shared" si="181"/>
        <v>0</v>
      </c>
      <c r="O2266" s="291"/>
      <c r="P2266" s="199"/>
      <c r="Q2266" s="202">
        <v>2054</v>
      </c>
      <c r="R2266" s="210">
        <v>20</v>
      </c>
      <c r="S2266" s="205" t="s">
        <v>163</v>
      </c>
      <c r="T2266" s="206"/>
      <c r="U2266" s="211">
        <v>0</v>
      </c>
      <c r="V2266" s="211">
        <v>0</v>
      </c>
      <c r="W2266" s="213">
        <v>0</v>
      </c>
      <c r="X2266" s="213">
        <v>0</v>
      </c>
    </row>
    <row r="2267" spans="1:24" s="46" customFormat="1" ht="15" customHeight="1">
      <c r="B2267" s="14"/>
      <c r="C2267" s="3"/>
      <c r="D2267" s="47"/>
      <c r="E2267" s="47"/>
      <c r="F2267" s="191"/>
      <c r="G2267" s="48"/>
      <c r="H2267" s="48"/>
      <c r="I2267" s="48"/>
      <c r="J2267" s="48"/>
      <c r="K2267" s="48"/>
      <c r="L2267" s="48"/>
      <c r="M2267" s="48"/>
      <c r="N2267" s="48"/>
      <c r="O2267" s="289"/>
      <c r="P2267" s="83"/>
      <c r="Q2267" s="202">
        <v>2055</v>
      </c>
      <c r="R2267" s="210">
        <v>20</v>
      </c>
      <c r="S2267" s="205" t="s">
        <v>245</v>
      </c>
      <c r="T2267" s="206"/>
      <c r="U2267" s="211"/>
      <c r="V2267" s="211"/>
      <c r="W2267" s="213"/>
      <c r="X2267" s="213"/>
    </row>
    <row r="2268" spans="1:24" ht="15" customHeight="1">
      <c r="D2268" s="47" t="s">
        <v>2353</v>
      </c>
      <c r="G2268" s="26"/>
      <c r="H2268" s="26"/>
      <c r="I2268" s="26"/>
      <c r="J2268" s="26"/>
      <c r="K2268" s="26"/>
      <c r="L2268" s="26"/>
      <c r="M2268" s="26"/>
      <c r="N2268" s="26"/>
      <c r="P2268" s="78"/>
      <c r="Q2268" s="202">
        <v>2056</v>
      </c>
      <c r="R2268" s="210">
        <v>20</v>
      </c>
      <c r="S2268" s="205" t="s">
        <v>2628</v>
      </c>
      <c r="T2268" s="206"/>
      <c r="U2268" s="211"/>
      <c r="V2268" s="211"/>
      <c r="W2268" s="213"/>
      <c r="X2268" s="213"/>
    </row>
    <row r="2269" spans="1:24" ht="15" customHeight="1">
      <c r="G2269" s="26"/>
      <c r="H2269" s="26"/>
      <c r="I2269" s="26"/>
      <c r="J2269" s="26"/>
      <c r="K2269" s="26"/>
      <c r="L2269" s="26"/>
      <c r="M2269" s="26"/>
      <c r="N2269" s="26"/>
      <c r="P2269" s="78"/>
    </row>
    <row r="2270" spans="1:24" ht="15" customHeight="1">
      <c r="C2270" s="3">
        <v>20</v>
      </c>
      <c r="D2270" s="15" t="s">
        <v>1639</v>
      </c>
      <c r="E2270" s="312" t="s">
        <v>1630</v>
      </c>
      <c r="G2270" s="26">
        <v>0</v>
      </c>
      <c r="H2270" s="26">
        <v>0</v>
      </c>
      <c r="I2270" s="26">
        <v>0</v>
      </c>
      <c r="J2270" s="26">
        <v>0</v>
      </c>
      <c r="K2270" s="26">
        <v>0</v>
      </c>
      <c r="L2270" s="26">
        <v>0</v>
      </c>
      <c r="M2270" s="26">
        <v>0</v>
      </c>
      <c r="N2270" s="26">
        <v>0</v>
      </c>
      <c r="O2270" s="285"/>
      <c r="P2270" s="73"/>
      <c r="Q2270" s="202">
        <v>2057</v>
      </c>
      <c r="R2270" s="210">
        <v>20</v>
      </c>
      <c r="S2270" s="205" t="s">
        <v>1639</v>
      </c>
      <c r="T2270" s="206" t="s">
        <v>1630</v>
      </c>
      <c r="U2270" s="211">
        <v>0</v>
      </c>
      <c r="V2270" s="211">
        <v>0</v>
      </c>
      <c r="W2270" s="213">
        <v>0</v>
      </c>
      <c r="X2270" s="213">
        <v>0</v>
      </c>
    </row>
    <row r="2271" spans="1:24" ht="15" customHeight="1">
      <c r="C2271" s="3">
        <v>20</v>
      </c>
      <c r="D2271" s="15" t="s">
        <v>1640</v>
      </c>
      <c r="E2271" s="312" t="s">
        <v>329</v>
      </c>
      <c r="G2271" s="26">
        <v>0</v>
      </c>
      <c r="H2271" s="26">
        <v>0</v>
      </c>
      <c r="I2271" s="26">
        <v>0</v>
      </c>
      <c r="J2271" s="26">
        <v>0</v>
      </c>
      <c r="K2271" s="26">
        <v>0</v>
      </c>
      <c r="L2271" s="26">
        <v>0</v>
      </c>
      <c r="M2271" s="26">
        <v>0</v>
      </c>
      <c r="N2271" s="26">
        <v>0</v>
      </c>
      <c r="O2271" s="285"/>
      <c r="P2271" s="73"/>
      <c r="Q2271" s="202">
        <v>2058</v>
      </c>
      <c r="R2271" s="210">
        <v>20</v>
      </c>
      <c r="S2271" s="205" t="s">
        <v>1640</v>
      </c>
      <c r="T2271" s="206" t="s">
        <v>329</v>
      </c>
      <c r="U2271" s="211">
        <v>0</v>
      </c>
      <c r="V2271" s="211">
        <v>0</v>
      </c>
      <c r="W2271" s="213">
        <v>0</v>
      </c>
      <c r="X2271" s="213">
        <v>0</v>
      </c>
    </row>
    <row r="2272" spans="1:24" ht="15" customHeight="1">
      <c r="C2272" s="3">
        <v>20</v>
      </c>
      <c r="D2272" s="15" t="s">
        <v>1641</v>
      </c>
      <c r="E2272" s="312" t="s">
        <v>165</v>
      </c>
      <c r="G2272" s="26">
        <v>0</v>
      </c>
      <c r="H2272" s="26">
        <v>0</v>
      </c>
      <c r="I2272" s="26">
        <v>0</v>
      </c>
      <c r="J2272" s="26">
        <v>0</v>
      </c>
      <c r="K2272" s="26">
        <v>0</v>
      </c>
      <c r="L2272" s="26">
        <v>0</v>
      </c>
      <c r="M2272" s="26">
        <v>0</v>
      </c>
      <c r="N2272" s="26">
        <v>0</v>
      </c>
      <c r="O2272" s="285"/>
      <c r="P2272" s="73"/>
      <c r="Q2272" s="202">
        <v>2059</v>
      </c>
      <c r="R2272" s="210">
        <v>20</v>
      </c>
      <c r="S2272" s="205" t="s">
        <v>1641</v>
      </c>
      <c r="T2272" s="206" t="s">
        <v>165</v>
      </c>
      <c r="U2272" s="211">
        <v>0</v>
      </c>
      <c r="V2272" s="211">
        <v>0</v>
      </c>
      <c r="W2272" s="213">
        <v>0</v>
      </c>
      <c r="X2272" s="213">
        <v>0</v>
      </c>
    </row>
    <row r="2273" spans="1:24" ht="15" customHeight="1">
      <c r="C2273" s="3">
        <v>20</v>
      </c>
      <c r="D2273" s="15" t="s">
        <v>1642</v>
      </c>
      <c r="E2273" s="312" t="s">
        <v>167</v>
      </c>
      <c r="G2273" s="26">
        <v>0</v>
      </c>
      <c r="H2273" s="26">
        <v>0</v>
      </c>
      <c r="I2273" s="26">
        <v>0</v>
      </c>
      <c r="J2273" s="26">
        <v>0</v>
      </c>
      <c r="K2273" s="26">
        <v>0</v>
      </c>
      <c r="L2273" s="26">
        <v>0</v>
      </c>
      <c r="M2273" s="26">
        <v>0</v>
      </c>
      <c r="N2273" s="26">
        <v>0</v>
      </c>
      <c r="O2273" s="285"/>
      <c r="P2273" s="73"/>
      <c r="Q2273" s="202">
        <v>2060</v>
      </c>
      <c r="R2273" s="210">
        <v>20</v>
      </c>
      <c r="S2273" s="205" t="s">
        <v>1642</v>
      </c>
      <c r="T2273" s="206" t="s">
        <v>167</v>
      </c>
      <c r="U2273" s="211">
        <v>0</v>
      </c>
      <c r="V2273" s="211">
        <v>0</v>
      </c>
      <c r="W2273" s="213">
        <v>0</v>
      </c>
      <c r="X2273" s="213">
        <v>0</v>
      </c>
    </row>
    <row r="2274" spans="1:24" ht="15" customHeight="1">
      <c r="C2274" s="3">
        <v>20</v>
      </c>
      <c r="D2274" s="15" t="s">
        <v>1643</v>
      </c>
      <c r="E2274" s="312" t="s">
        <v>247</v>
      </c>
      <c r="G2274" s="26">
        <v>0</v>
      </c>
      <c r="H2274" s="26">
        <v>0</v>
      </c>
      <c r="I2274" s="26">
        <v>0</v>
      </c>
      <c r="J2274" s="26">
        <v>0</v>
      </c>
      <c r="K2274" s="26">
        <v>0</v>
      </c>
      <c r="L2274" s="26">
        <v>0</v>
      </c>
      <c r="M2274" s="26">
        <v>0</v>
      </c>
      <c r="N2274" s="26">
        <v>0</v>
      </c>
      <c r="O2274" s="285"/>
      <c r="P2274" s="73"/>
      <c r="Q2274" s="202">
        <v>2061</v>
      </c>
      <c r="R2274" s="210">
        <v>20</v>
      </c>
      <c r="S2274" s="205" t="s">
        <v>1643</v>
      </c>
      <c r="T2274" s="206" t="s">
        <v>247</v>
      </c>
      <c r="U2274" s="211">
        <v>0</v>
      </c>
      <c r="V2274" s="211">
        <v>0</v>
      </c>
      <c r="W2274" s="213">
        <v>0</v>
      </c>
      <c r="X2274" s="213">
        <v>0</v>
      </c>
    </row>
    <row r="2275" spans="1:24" ht="15" customHeight="1">
      <c r="C2275" s="3">
        <v>20</v>
      </c>
      <c r="D2275" s="15" t="s">
        <v>1644</v>
      </c>
      <c r="E2275" s="312" t="s">
        <v>382</v>
      </c>
      <c r="G2275" s="26">
        <v>0</v>
      </c>
      <c r="H2275" s="26">
        <v>0</v>
      </c>
      <c r="I2275" s="26">
        <v>0</v>
      </c>
      <c r="J2275" s="26">
        <v>0</v>
      </c>
      <c r="K2275" s="26">
        <v>0</v>
      </c>
      <c r="L2275" s="26">
        <v>0</v>
      </c>
      <c r="M2275" s="26">
        <v>0</v>
      </c>
      <c r="N2275" s="26">
        <v>0</v>
      </c>
      <c r="O2275" s="285"/>
      <c r="P2275" s="73"/>
      <c r="Q2275" s="202">
        <v>2062</v>
      </c>
      <c r="R2275" s="210">
        <v>20</v>
      </c>
      <c r="S2275" s="205" t="s">
        <v>1644</v>
      </c>
      <c r="T2275" s="206" t="s">
        <v>382</v>
      </c>
      <c r="U2275" s="211">
        <v>0</v>
      </c>
      <c r="V2275" s="211">
        <v>0</v>
      </c>
      <c r="W2275" s="213">
        <v>0</v>
      </c>
      <c r="X2275" s="213">
        <v>0</v>
      </c>
    </row>
    <row r="2276" spans="1:24" ht="15" customHeight="1">
      <c r="C2276" s="3">
        <v>20</v>
      </c>
      <c r="D2276" s="15" t="s">
        <v>1645</v>
      </c>
      <c r="E2276" s="312" t="s">
        <v>173</v>
      </c>
      <c r="G2276" s="26">
        <v>0</v>
      </c>
      <c r="H2276" s="26">
        <v>0</v>
      </c>
      <c r="I2276" s="26">
        <v>0</v>
      </c>
      <c r="J2276" s="26">
        <v>0</v>
      </c>
      <c r="K2276" s="26">
        <v>0</v>
      </c>
      <c r="L2276" s="26">
        <v>0</v>
      </c>
      <c r="M2276" s="26">
        <v>0</v>
      </c>
      <c r="N2276" s="26">
        <v>0</v>
      </c>
      <c r="O2276" s="285"/>
      <c r="P2276" s="73"/>
      <c r="Q2276" s="202">
        <v>2063</v>
      </c>
      <c r="R2276" s="210">
        <v>20</v>
      </c>
      <c r="S2276" s="205" t="s">
        <v>1645</v>
      </c>
      <c r="T2276" s="206" t="s">
        <v>173</v>
      </c>
      <c r="U2276" s="211">
        <v>0</v>
      </c>
      <c r="V2276" s="211">
        <v>0</v>
      </c>
      <c r="W2276" s="213">
        <v>0</v>
      </c>
      <c r="X2276" s="213">
        <v>0</v>
      </c>
    </row>
    <row r="2277" spans="1:24" ht="15" customHeight="1">
      <c r="C2277" s="3">
        <v>20</v>
      </c>
      <c r="D2277" s="15" t="s">
        <v>1646</v>
      </c>
      <c r="E2277" s="312" t="s">
        <v>244</v>
      </c>
      <c r="G2277" s="26">
        <v>0</v>
      </c>
      <c r="H2277" s="26">
        <v>0</v>
      </c>
      <c r="I2277" s="26">
        <v>0</v>
      </c>
      <c r="J2277" s="26">
        <v>0</v>
      </c>
      <c r="K2277" s="26">
        <v>0</v>
      </c>
      <c r="L2277" s="26">
        <v>0</v>
      </c>
      <c r="M2277" s="26">
        <v>0</v>
      </c>
      <c r="N2277" s="26">
        <v>0</v>
      </c>
      <c r="O2277" s="285"/>
      <c r="P2277" s="73"/>
      <c r="Q2277" s="202">
        <v>2064</v>
      </c>
      <c r="R2277" s="210">
        <v>20</v>
      </c>
      <c r="S2277" s="205" t="s">
        <v>1646</v>
      </c>
      <c r="T2277" s="206" t="s">
        <v>244</v>
      </c>
      <c r="U2277" s="211">
        <v>0</v>
      </c>
      <c r="V2277" s="211">
        <v>0</v>
      </c>
      <c r="W2277" s="213">
        <v>0</v>
      </c>
      <c r="X2277" s="213">
        <v>0</v>
      </c>
    </row>
    <row r="2278" spans="1:24" ht="15" customHeight="1">
      <c r="G2278" s="26"/>
      <c r="H2278" s="26"/>
      <c r="I2278" s="26"/>
      <c r="J2278" s="26"/>
      <c r="K2278" s="26"/>
      <c r="L2278" s="26"/>
      <c r="M2278" s="26"/>
      <c r="N2278" s="26"/>
      <c r="P2278" s="73"/>
      <c r="Q2278" s="202">
        <v>2065</v>
      </c>
      <c r="R2278" s="210">
        <v>20</v>
      </c>
      <c r="S2278" s="205" t="s">
        <v>2623</v>
      </c>
      <c r="T2278" s="206"/>
      <c r="U2278" s="211"/>
      <c r="V2278" s="211"/>
      <c r="W2278" s="213"/>
      <c r="X2278" s="213"/>
    </row>
    <row r="2279" spans="1:24" s="24" customFormat="1" ht="15" customHeight="1">
      <c r="A2279" s="5" t="s">
        <v>245</v>
      </c>
      <c r="B2279" s="62" t="s">
        <v>2317</v>
      </c>
      <c r="C2279" s="3"/>
      <c r="D2279" s="323" t="s">
        <v>2354</v>
      </c>
      <c r="E2279" s="323"/>
      <c r="F2279" s="324"/>
      <c r="G2279" s="325">
        <f>SUM(G2268:G2278)</f>
        <v>0</v>
      </c>
      <c r="H2279" s="325">
        <f t="shared" ref="H2279:N2279" si="182">SUM(H2268:H2278)</f>
        <v>0</v>
      </c>
      <c r="I2279" s="325">
        <f t="shared" si="182"/>
        <v>0</v>
      </c>
      <c r="J2279" s="325">
        <f t="shared" si="182"/>
        <v>0</v>
      </c>
      <c r="K2279" s="325">
        <f t="shared" si="182"/>
        <v>0</v>
      </c>
      <c r="L2279" s="325">
        <f t="shared" si="182"/>
        <v>0</v>
      </c>
      <c r="M2279" s="325">
        <f t="shared" si="182"/>
        <v>0</v>
      </c>
      <c r="N2279" s="325">
        <f t="shared" si="182"/>
        <v>0</v>
      </c>
      <c r="O2279" s="292"/>
      <c r="P2279" s="73"/>
      <c r="Q2279" s="202">
        <v>2066</v>
      </c>
      <c r="R2279" s="210">
        <v>20</v>
      </c>
      <c r="S2279" s="205" t="s">
        <v>245</v>
      </c>
      <c r="T2279" s="206"/>
      <c r="U2279" s="211">
        <v>0</v>
      </c>
      <c r="V2279" s="211">
        <v>0</v>
      </c>
      <c r="W2279" s="213">
        <v>0</v>
      </c>
      <c r="X2279" s="213">
        <v>0</v>
      </c>
    </row>
    <row r="2280" spans="1:24" ht="15" customHeight="1">
      <c r="G2280" s="26"/>
      <c r="H2280" s="26"/>
      <c r="I2280" s="26"/>
      <c r="J2280" s="26"/>
      <c r="K2280" s="26"/>
      <c r="L2280" s="26"/>
      <c r="M2280" s="26"/>
      <c r="N2280" s="26"/>
      <c r="P2280" s="73"/>
      <c r="Q2280" s="202">
        <v>2067</v>
      </c>
      <c r="R2280" s="210">
        <v>20</v>
      </c>
      <c r="S2280" s="205" t="s">
        <v>2623</v>
      </c>
      <c r="T2280" s="206"/>
      <c r="U2280" s="211"/>
      <c r="V2280" s="211"/>
      <c r="W2280" s="213"/>
      <c r="X2280" s="213"/>
    </row>
    <row r="2281" spans="1:24" s="43" customFormat="1" ht="15" customHeight="1" thickBot="1">
      <c r="B2281" s="43" t="s">
        <v>2317</v>
      </c>
      <c r="C2281" s="3"/>
      <c r="D2281" s="68" t="s">
        <v>1998</v>
      </c>
      <c r="E2281" s="326"/>
      <c r="F2281" s="327"/>
      <c r="G2281" s="328">
        <f t="shared" ref="G2281:N2281" si="183">+G2279+G2266+G2247+G2224+G2201</f>
        <v>962852</v>
      </c>
      <c r="H2281" s="328">
        <f t="shared" si="183"/>
        <v>1328563</v>
      </c>
      <c r="I2281" s="328">
        <f t="shared" si="183"/>
        <v>1352092</v>
      </c>
      <c r="J2281" s="328">
        <f t="shared" si="183"/>
        <v>1393356</v>
      </c>
      <c r="K2281" s="328">
        <f t="shared" si="183"/>
        <v>1459285</v>
      </c>
      <c r="L2281" s="328">
        <f t="shared" si="183"/>
        <v>754499</v>
      </c>
      <c r="M2281" s="328">
        <f t="shared" si="183"/>
        <v>1372727</v>
      </c>
      <c r="N2281" s="328">
        <f t="shared" si="183"/>
        <v>1513416</v>
      </c>
      <c r="O2281" s="288"/>
      <c r="P2281" s="73"/>
      <c r="Q2281" s="202">
        <v>2068</v>
      </c>
      <c r="R2281" s="210">
        <v>20</v>
      </c>
      <c r="S2281" s="205" t="s">
        <v>1310</v>
      </c>
      <c r="T2281" s="206"/>
      <c r="U2281" s="211">
        <v>1459285</v>
      </c>
      <c r="V2281" s="211">
        <v>124108.6</v>
      </c>
      <c r="W2281" s="213">
        <v>878607.37</v>
      </c>
      <c r="X2281" s="213">
        <v>60.21</v>
      </c>
    </row>
    <row r="2282" spans="1:24" s="45" customFormat="1" ht="15" customHeight="1" thickTop="1">
      <c r="C2282" s="3"/>
      <c r="D2282" s="47"/>
      <c r="E2282" s="15"/>
      <c r="F2282" s="105"/>
      <c r="G2282" s="26"/>
      <c r="H2282" s="26"/>
      <c r="I2282" s="26"/>
      <c r="J2282" s="26"/>
      <c r="K2282" s="26"/>
      <c r="L2282" s="26"/>
      <c r="M2282" s="26"/>
      <c r="N2282" s="26"/>
      <c r="O2282" s="275"/>
      <c r="P2282" s="73"/>
    </row>
    <row r="2283" spans="1:24" s="45" customFormat="1" ht="15" customHeight="1">
      <c r="C2283" s="3"/>
      <c r="D2283" s="47" t="s">
        <v>1311</v>
      </c>
      <c r="E2283" s="15"/>
      <c r="F2283" s="105"/>
      <c r="G2283" s="26"/>
      <c r="H2283" s="26"/>
      <c r="I2283" s="26"/>
      <c r="J2283" s="26"/>
      <c r="K2283" s="26"/>
      <c r="L2283" s="26"/>
      <c r="M2283" s="26"/>
      <c r="N2283" s="26"/>
      <c r="O2283" s="275"/>
      <c r="P2283" s="73"/>
    </row>
    <row r="2284" spans="1:24" s="45" customFormat="1" ht="15" customHeight="1">
      <c r="C2284" s="3"/>
      <c r="D2284" s="47"/>
      <c r="E2284" s="15"/>
      <c r="F2284" s="105"/>
      <c r="G2284" s="26"/>
      <c r="H2284" s="26"/>
      <c r="I2284" s="26"/>
      <c r="J2284" s="26"/>
      <c r="K2284" s="26"/>
      <c r="L2284" s="26"/>
      <c r="M2284" s="26"/>
      <c r="N2284" s="26"/>
      <c r="O2284" s="275"/>
      <c r="P2284" s="73"/>
    </row>
    <row r="2285" spans="1:24" s="5" customFormat="1" ht="15" customHeight="1">
      <c r="C2285" s="3"/>
      <c r="D2285" s="47" t="s">
        <v>2355</v>
      </c>
      <c r="E2285" s="15"/>
      <c r="F2285" s="105"/>
      <c r="G2285" s="26"/>
      <c r="H2285" s="26"/>
      <c r="I2285" s="26"/>
      <c r="J2285" s="26"/>
      <c r="K2285" s="26"/>
      <c r="L2285" s="26"/>
      <c r="M2285" s="26"/>
      <c r="N2285" s="26"/>
      <c r="O2285" s="282"/>
      <c r="P2285" s="73"/>
      <c r="Q2285" s="202">
        <v>2069</v>
      </c>
      <c r="R2285" s="210">
        <v>20</v>
      </c>
      <c r="S2285" s="205" t="s">
        <v>2621</v>
      </c>
      <c r="T2285" s="206"/>
      <c r="U2285" s="211"/>
      <c r="V2285" s="211"/>
      <c r="W2285" s="213"/>
      <c r="X2285" s="213"/>
    </row>
    <row r="2286" spans="1:24" ht="15" customHeight="1">
      <c r="G2286" s="26"/>
      <c r="H2286" s="26"/>
      <c r="I2286" s="26"/>
      <c r="J2286" s="26"/>
      <c r="K2286" s="26"/>
      <c r="L2286" s="26"/>
      <c r="M2286" s="26"/>
      <c r="N2286" s="26"/>
      <c r="P2286" s="73"/>
      <c r="Q2286" s="202">
        <v>2070</v>
      </c>
      <c r="R2286" s="210">
        <v>20</v>
      </c>
      <c r="S2286" s="205" t="s">
        <v>2622</v>
      </c>
      <c r="T2286" s="206"/>
      <c r="U2286" s="211"/>
      <c r="V2286" s="211"/>
      <c r="W2286" s="213"/>
      <c r="X2286" s="213"/>
    </row>
    <row r="2287" spans="1:24" ht="15" customHeight="1">
      <c r="C2287" s="3">
        <v>20</v>
      </c>
      <c r="D2287" s="15" t="s">
        <v>1647</v>
      </c>
      <c r="E2287" s="312" t="s">
        <v>101</v>
      </c>
      <c r="G2287" s="26">
        <v>0</v>
      </c>
      <c r="H2287" s="26">
        <v>0</v>
      </c>
      <c r="I2287" s="26">
        <v>0</v>
      </c>
      <c r="J2287" s="26">
        <v>0</v>
      </c>
      <c r="K2287" s="26">
        <v>0</v>
      </c>
      <c r="L2287" s="26">
        <v>0</v>
      </c>
      <c r="M2287" s="26">
        <v>0</v>
      </c>
      <c r="N2287" s="26">
        <v>0</v>
      </c>
      <c r="O2287" s="285"/>
      <c r="P2287" s="73"/>
      <c r="Q2287" s="202">
        <v>2071</v>
      </c>
      <c r="R2287" s="210">
        <v>20</v>
      </c>
      <c r="S2287" s="205" t="s">
        <v>1647</v>
      </c>
      <c r="T2287" s="206" t="s">
        <v>101</v>
      </c>
      <c r="U2287" s="211">
        <v>0</v>
      </c>
      <c r="V2287" s="211">
        <v>0</v>
      </c>
      <c r="W2287" s="213">
        <v>0</v>
      </c>
      <c r="X2287" s="213">
        <v>0</v>
      </c>
    </row>
    <row r="2288" spans="1:24" ht="15" customHeight="1">
      <c r="C2288" s="3">
        <v>20</v>
      </c>
      <c r="D2288" s="15" t="s">
        <v>1648</v>
      </c>
      <c r="E2288" s="312" t="s">
        <v>1649</v>
      </c>
      <c r="G2288" s="26">
        <v>0</v>
      </c>
      <c r="H2288" s="26">
        <v>0</v>
      </c>
      <c r="I2288" s="26">
        <v>0</v>
      </c>
      <c r="J2288" s="26">
        <v>0</v>
      </c>
      <c r="K2288" s="26">
        <v>0</v>
      </c>
      <c r="L2288" s="26">
        <v>0</v>
      </c>
      <c r="M2288" s="26">
        <v>0</v>
      </c>
      <c r="N2288" s="26">
        <v>0</v>
      </c>
      <c r="O2288" s="285"/>
      <c r="P2288" s="73"/>
      <c r="Q2288" s="202">
        <v>2072</v>
      </c>
      <c r="R2288" s="210">
        <v>20</v>
      </c>
      <c r="S2288" s="205" t="s">
        <v>1648</v>
      </c>
      <c r="T2288" s="206" t="s">
        <v>1649</v>
      </c>
      <c r="U2288" s="211">
        <v>0</v>
      </c>
      <c r="V2288" s="211">
        <v>0</v>
      </c>
      <c r="W2288" s="213">
        <v>0</v>
      </c>
      <c r="X2288" s="213">
        <v>0</v>
      </c>
    </row>
    <row r="2289" spans="1:24" ht="15" customHeight="1">
      <c r="G2289" s="26"/>
      <c r="H2289" s="26"/>
      <c r="I2289" s="26"/>
      <c r="J2289" s="26"/>
      <c r="K2289" s="26"/>
      <c r="L2289" s="26"/>
      <c r="M2289" s="26"/>
      <c r="N2289" s="26"/>
      <c r="O2289" s="293"/>
      <c r="P2289" s="74"/>
      <c r="Q2289" s="202">
        <v>2073</v>
      </c>
      <c r="R2289" s="210">
        <v>20</v>
      </c>
      <c r="S2289" s="205" t="s">
        <v>2623</v>
      </c>
      <c r="T2289" s="206"/>
      <c r="U2289" s="211"/>
      <c r="V2289" s="211"/>
      <c r="W2289" s="213"/>
      <c r="X2289" s="213"/>
    </row>
    <row r="2290" spans="1:24" s="72" customFormat="1" ht="15" customHeight="1">
      <c r="A2290" s="5" t="s">
        <v>2410</v>
      </c>
      <c r="B2290" s="62" t="s">
        <v>2317</v>
      </c>
      <c r="C2290" s="3"/>
      <c r="D2290" s="323" t="s">
        <v>2356</v>
      </c>
      <c r="E2290" s="323"/>
      <c r="F2290" s="324"/>
      <c r="G2290" s="325">
        <f>SUM(G2285:G2289)</f>
        <v>0</v>
      </c>
      <c r="H2290" s="325">
        <f t="shared" ref="H2290:N2290" si="184">SUM(H2285:H2289)</f>
        <v>0</v>
      </c>
      <c r="I2290" s="325">
        <f t="shared" si="184"/>
        <v>0</v>
      </c>
      <c r="J2290" s="325">
        <f t="shared" si="184"/>
        <v>0</v>
      </c>
      <c r="K2290" s="325">
        <f t="shared" si="184"/>
        <v>0</v>
      </c>
      <c r="L2290" s="325">
        <f t="shared" si="184"/>
        <v>0</v>
      </c>
      <c r="M2290" s="325">
        <f t="shared" si="184"/>
        <v>0</v>
      </c>
      <c r="N2290" s="325">
        <f t="shared" si="184"/>
        <v>0</v>
      </c>
      <c r="O2290" s="286"/>
      <c r="P2290" s="84"/>
      <c r="Q2290" s="202">
        <v>2074</v>
      </c>
      <c r="R2290" s="210">
        <v>20</v>
      </c>
      <c r="S2290" s="205" t="s">
        <v>2621</v>
      </c>
      <c r="T2290" s="206"/>
      <c r="U2290" s="211">
        <v>0</v>
      </c>
      <c r="V2290" s="211">
        <v>0</v>
      </c>
      <c r="W2290" s="213">
        <v>0</v>
      </c>
      <c r="X2290" s="213">
        <v>0</v>
      </c>
    </row>
    <row r="2291" spans="1:24" s="46" customFormat="1" ht="15" customHeight="1">
      <c r="B2291" s="14"/>
      <c r="C2291" s="3"/>
      <c r="D2291" s="47"/>
      <c r="E2291" s="47"/>
      <c r="F2291" s="191"/>
      <c r="G2291" s="48"/>
      <c r="H2291" s="48"/>
      <c r="I2291" s="48"/>
      <c r="J2291" s="48"/>
      <c r="K2291" s="48"/>
      <c r="L2291" s="48"/>
      <c r="M2291" s="48"/>
      <c r="N2291" s="48"/>
      <c r="O2291" s="289"/>
      <c r="P2291" s="83"/>
    </row>
    <row r="2292" spans="1:24" ht="15" customHeight="1">
      <c r="D2292" s="47" t="s">
        <v>2357</v>
      </c>
      <c r="G2292" s="26"/>
      <c r="H2292" s="26"/>
      <c r="I2292" s="26"/>
      <c r="J2292" s="26"/>
      <c r="K2292" s="26"/>
      <c r="L2292" s="26"/>
      <c r="M2292" s="26"/>
      <c r="N2292" s="26"/>
      <c r="P2292" s="78"/>
      <c r="Q2292" s="202">
        <v>2075</v>
      </c>
      <c r="R2292" s="210">
        <v>20</v>
      </c>
      <c r="S2292" s="205" t="s">
        <v>104</v>
      </c>
      <c r="T2292" s="206"/>
      <c r="U2292" s="211"/>
      <c r="V2292" s="211"/>
      <c r="W2292" s="213"/>
      <c r="X2292" s="213"/>
    </row>
    <row r="2293" spans="1:24" ht="15" customHeight="1">
      <c r="G2293" s="26"/>
      <c r="H2293" s="26"/>
      <c r="I2293" s="26"/>
      <c r="J2293" s="26"/>
      <c r="K2293" s="26"/>
      <c r="L2293" s="26"/>
      <c r="M2293" s="26"/>
      <c r="N2293" s="26"/>
      <c r="P2293" s="78"/>
      <c r="Q2293" s="202">
        <v>2076</v>
      </c>
      <c r="R2293" s="210">
        <v>20</v>
      </c>
      <c r="S2293" s="205" t="s">
        <v>2624</v>
      </c>
      <c r="T2293" s="206"/>
      <c r="U2293" s="211"/>
      <c r="V2293" s="211"/>
      <c r="W2293" s="213"/>
      <c r="X2293" s="213"/>
    </row>
    <row r="2294" spans="1:24" ht="15" customHeight="1">
      <c r="C2294" s="3">
        <v>20</v>
      </c>
      <c r="D2294" s="15" t="s">
        <v>1650</v>
      </c>
      <c r="E2294" s="312" t="s">
        <v>106</v>
      </c>
      <c r="G2294" s="26">
        <v>0</v>
      </c>
      <c r="H2294" s="26">
        <v>0</v>
      </c>
      <c r="I2294" s="26">
        <v>0</v>
      </c>
      <c r="J2294" s="26">
        <v>0</v>
      </c>
      <c r="K2294" s="26">
        <v>0</v>
      </c>
      <c r="L2294" s="26">
        <v>0</v>
      </c>
      <c r="M2294" s="26">
        <v>0</v>
      </c>
      <c r="N2294" s="26">
        <v>0</v>
      </c>
      <c r="O2294" s="285"/>
      <c r="P2294" s="73"/>
      <c r="Q2294" s="202">
        <v>2077</v>
      </c>
      <c r="R2294" s="210">
        <v>20</v>
      </c>
      <c r="S2294" s="205" t="s">
        <v>1650</v>
      </c>
      <c r="T2294" s="206" t="s">
        <v>106</v>
      </c>
      <c r="U2294" s="211">
        <v>0</v>
      </c>
      <c r="V2294" s="211">
        <v>0</v>
      </c>
      <c r="W2294" s="213">
        <v>0</v>
      </c>
      <c r="X2294" s="213">
        <v>0</v>
      </c>
    </row>
    <row r="2295" spans="1:24" ht="15" customHeight="1">
      <c r="G2295" s="26"/>
      <c r="H2295" s="26"/>
      <c r="I2295" s="26"/>
      <c r="J2295" s="26"/>
      <c r="K2295" s="26"/>
      <c r="L2295" s="26"/>
      <c r="M2295" s="26"/>
      <c r="N2295" s="26"/>
      <c r="P2295" s="73"/>
      <c r="Q2295" s="202">
        <v>2078</v>
      </c>
      <c r="R2295" s="210">
        <v>20</v>
      </c>
      <c r="S2295" s="205" t="s">
        <v>2623</v>
      </c>
      <c r="T2295" s="206"/>
      <c r="U2295" s="211"/>
      <c r="V2295" s="211"/>
      <c r="W2295" s="213"/>
      <c r="X2295" s="213"/>
    </row>
    <row r="2296" spans="1:24" s="200" customFormat="1" ht="15" customHeight="1">
      <c r="A2296" s="196" t="s">
        <v>104</v>
      </c>
      <c r="B2296" s="201" t="s">
        <v>2317</v>
      </c>
      <c r="C2296" s="75"/>
      <c r="D2296" s="323" t="s">
        <v>2358</v>
      </c>
      <c r="E2296" s="323"/>
      <c r="F2296" s="324"/>
      <c r="G2296" s="325">
        <f>SUM(G2292:G2295)</f>
        <v>0</v>
      </c>
      <c r="H2296" s="325">
        <f t="shared" ref="H2296:N2296" si="185">SUM(H2292:H2295)</f>
        <v>0</v>
      </c>
      <c r="I2296" s="325">
        <f t="shared" si="185"/>
        <v>0</v>
      </c>
      <c r="J2296" s="325">
        <f t="shared" si="185"/>
        <v>0</v>
      </c>
      <c r="K2296" s="325">
        <f t="shared" si="185"/>
        <v>0</v>
      </c>
      <c r="L2296" s="325">
        <f t="shared" si="185"/>
        <v>0</v>
      </c>
      <c r="M2296" s="325">
        <f t="shared" si="185"/>
        <v>0</v>
      </c>
      <c r="N2296" s="325">
        <f t="shared" si="185"/>
        <v>0</v>
      </c>
      <c r="O2296" s="287"/>
      <c r="P2296" s="73"/>
      <c r="Q2296" s="202">
        <v>2079</v>
      </c>
      <c r="R2296" s="210">
        <v>20</v>
      </c>
      <c r="S2296" s="205" t="s">
        <v>104</v>
      </c>
      <c r="T2296" s="206"/>
      <c r="U2296" s="211">
        <v>0</v>
      </c>
      <c r="V2296" s="211">
        <v>0</v>
      </c>
      <c r="W2296" s="213">
        <v>0</v>
      </c>
      <c r="X2296" s="213">
        <v>0</v>
      </c>
    </row>
    <row r="2297" spans="1:24" s="46" customFormat="1" ht="15" customHeight="1">
      <c r="B2297" s="14"/>
      <c r="C2297" s="3"/>
      <c r="D2297" s="47"/>
      <c r="E2297" s="47"/>
      <c r="F2297" s="191"/>
      <c r="G2297" s="48"/>
      <c r="H2297" s="48"/>
      <c r="I2297" s="48"/>
      <c r="J2297" s="48"/>
      <c r="K2297" s="48"/>
      <c r="L2297" s="48"/>
      <c r="M2297" s="48"/>
      <c r="N2297" s="48"/>
      <c r="O2297" s="289"/>
      <c r="P2297" s="73"/>
    </row>
    <row r="2298" spans="1:24" ht="15" customHeight="1">
      <c r="D2298" s="47" t="s">
        <v>2359</v>
      </c>
      <c r="G2298" s="26"/>
      <c r="H2298" s="26"/>
      <c r="I2298" s="26"/>
      <c r="J2298" s="26"/>
      <c r="K2298" s="26"/>
      <c r="L2298" s="26"/>
      <c r="M2298" s="26"/>
      <c r="N2298" s="26"/>
      <c r="P2298" s="73"/>
      <c r="Q2298" s="202">
        <v>2080</v>
      </c>
      <c r="R2298" s="210">
        <v>20</v>
      </c>
      <c r="S2298" s="205" t="s">
        <v>135</v>
      </c>
      <c r="T2298" s="206"/>
      <c r="U2298" s="211"/>
      <c r="V2298" s="211"/>
      <c r="W2298" s="213"/>
      <c r="X2298" s="213"/>
    </row>
    <row r="2299" spans="1:24" ht="15" customHeight="1">
      <c r="G2299" s="26"/>
      <c r="H2299" s="26"/>
      <c r="I2299" s="26"/>
      <c r="J2299" s="26"/>
      <c r="K2299" s="26"/>
      <c r="L2299" s="26"/>
      <c r="M2299" s="26"/>
      <c r="N2299" s="26"/>
      <c r="P2299" s="73"/>
      <c r="Q2299" s="202">
        <v>2081</v>
      </c>
      <c r="R2299" s="210">
        <v>20</v>
      </c>
      <c r="S2299" s="205" t="s">
        <v>2626</v>
      </c>
      <c r="T2299" s="206"/>
      <c r="U2299" s="211"/>
      <c r="V2299" s="211"/>
      <c r="W2299" s="213"/>
      <c r="X2299" s="213"/>
    </row>
    <row r="2300" spans="1:24" ht="15" customHeight="1">
      <c r="C2300" s="3">
        <v>20</v>
      </c>
      <c r="D2300" s="15" t="s">
        <v>1651</v>
      </c>
      <c r="E2300" s="312" t="s">
        <v>1256</v>
      </c>
      <c r="G2300" s="26">
        <v>34161</v>
      </c>
      <c r="H2300" s="26">
        <v>38773</v>
      </c>
      <c r="I2300" s="26">
        <v>14675</v>
      </c>
      <c r="J2300" s="26">
        <v>35150</v>
      </c>
      <c r="K2300" s="26">
        <v>30000</v>
      </c>
      <c r="L2300" s="26">
        <v>22585</v>
      </c>
      <c r="M2300" s="26">
        <v>30000</v>
      </c>
      <c r="N2300" s="26">
        <v>30000</v>
      </c>
      <c r="O2300" s="285"/>
      <c r="P2300" s="73"/>
      <c r="Q2300" s="202">
        <v>2082</v>
      </c>
      <c r="R2300" s="210">
        <v>20</v>
      </c>
      <c r="S2300" s="205" t="s">
        <v>1651</v>
      </c>
      <c r="T2300" s="206" t="s">
        <v>1256</v>
      </c>
      <c r="U2300" s="211">
        <v>30000</v>
      </c>
      <c r="V2300" s="211">
        <v>437</v>
      </c>
      <c r="W2300" s="213">
        <v>23022.11</v>
      </c>
      <c r="X2300" s="213">
        <v>76.739999999999995</v>
      </c>
    </row>
    <row r="2301" spans="1:24" ht="15" customHeight="1">
      <c r="C2301" s="3">
        <v>20</v>
      </c>
      <c r="D2301" s="15" t="s">
        <v>1652</v>
      </c>
      <c r="E2301" s="312" t="s">
        <v>162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85"/>
      <c r="P2301" s="73"/>
      <c r="Q2301" s="202">
        <v>2083</v>
      </c>
      <c r="R2301" s="210">
        <v>20</v>
      </c>
      <c r="S2301" s="205" t="s">
        <v>1652</v>
      </c>
      <c r="T2301" s="206" t="s">
        <v>162</v>
      </c>
      <c r="U2301" s="211">
        <v>0</v>
      </c>
      <c r="V2301" s="211">
        <v>0</v>
      </c>
      <c r="W2301" s="213">
        <v>0</v>
      </c>
      <c r="X2301" s="213">
        <v>0</v>
      </c>
    </row>
    <row r="2302" spans="1:24" ht="15" customHeight="1">
      <c r="C2302" s="3">
        <v>20</v>
      </c>
      <c r="D2302" s="15" t="s">
        <v>1653</v>
      </c>
      <c r="E2302" s="312" t="s">
        <v>1285</v>
      </c>
      <c r="G2302" s="26">
        <v>0</v>
      </c>
      <c r="H2302" s="26">
        <v>419</v>
      </c>
      <c r="I2302" s="26">
        <v>0</v>
      </c>
      <c r="J2302" s="26">
        <v>0</v>
      </c>
      <c r="K2302" s="26">
        <v>0</v>
      </c>
      <c r="L2302" s="26">
        <v>750</v>
      </c>
      <c r="M2302" s="26">
        <v>750</v>
      </c>
      <c r="N2302" s="26">
        <v>750</v>
      </c>
      <c r="O2302" s="285"/>
      <c r="P2302" s="73"/>
      <c r="Q2302" s="202">
        <v>2084</v>
      </c>
      <c r="R2302" s="210">
        <v>20</v>
      </c>
      <c r="S2302" s="205" t="s">
        <v>1653</v>
      </c>
      <c r="T2302" s="206" t="s">
        <v>1285</v>
      </c>
      <c r="U2302" s="211">
        <v>0</v>
      </c>
      <c r="V2302" s="211">
        <v>0</v>
      </c>
      <c r="W2302" s="213">
        <v>750</v>
      </c>
      <c r="X2302" s="213">
        <v>0</v>
      </c>
    </row>
    <row r="2303" spans="1:24" ht="15" customHeight="1">
      <c r="G2303" s="26"/>
      <c r="H2303" s="26"/>
      <c r="I2303" s="26"/>
      <c r="J2303" s="26"/>
      <c r="K2303" s="26"/>
      <c r="L2303" s="26"/>
      <c r="M2303" s="26"/>
      <c r="N2303" s="26"/>
      <c r="O2303" s="293"/>
      <c r="P2303" s="73"/>
      <c r="Q2303" s="202">
        <v>2085</v>
      </c>
      <c r="R2303" s="210">
        <v>20</v>
      </c>
      <c r="S2303" s="205" t="s">
        <v>2623</v>
      </c>
      <c r="T2303" s="206"/>
      <c r="U2303" s="211"/>
      <c r="V2303" s="211"/>
      <c r="W2303" s="213"/>
      <c r="X2303" s="213"/>
    </row>
    <row r="2304" spans="1:24" s="22" customFormat="1" ht="15" customHeight="1">
      <c r="A2304" s="5" t="s">
        <v>135</v>
      </c>
      <c r="B2304" s="62" t="s">
        <v>2317</v>
      </c>
      <c r="C2304" s="3"/>
      <c r="D2304" s="323" t="s">
        <v>2360</v>
      </c>
      <c r="E2304" s="323"/>
      <c r="F2304" s="324"/>
      <c r="G2304" s="325">
        <f>SUM(G2298:G2303)</f>
        <v>34161</v>
      </c>
      <c r="H2304" s="325">
        <f t="shared" ref="H2304:N2304" si="186">SUM(H2298:H2303)</f>
        <v>39192</v>
      </c>
      <c r="I2304" s="325">
        <f t="shared" si="186"/>
        <v>14675</v>
      </c>
      <c r="J2304" s="325">
        <f t="shared" si="186"/>
        <v>35150</v>
      </c>
      <c r="K2304" s="325">
        <f t="shared" si="186"/>
        <v>30000</v>
      </c>
      <c r="L2304" s="325">
        <f t="shared" si="186"/>
        <v>23335</v>
      </c>
      <c r="M2304" s="325">
        <f t="shared" si="186"/>
        <v>30750</v>
      </c>
      <c r="N2304" s="325">
        <f t="shared" si="186"/>
        <v>30750</v>
      </c>
      <c r="O2304" s="290"/>
      <c r="P2304" s="73"/>
      <c r="Q2304" s="202">
        <v>2086</v>
      </c>
      <c r="R2304" s="210">
        <v>20</v>
      </c>
      <c r="S2304" s="205" t="s">
        <v>135</v>
      </c>
      <c r="T2304" s="206"/>
      <c r="U2304" s="211">
        <v>30000</v>
      </c>
      <c r="V2304" s="211">
        <v>437</v>
      </c>
      <c r="W2304" s="213">
        <v>23772.11</v>
      </c>
      <c r="X2304" s="213">
        <v>0</v>
      </c>
    </row>
    <row r="2305" spans="1:24" s="46" customFormat="1" ht="15" customHeight="1">
      <c r="B2305" s="14"/>
      <c r="C2305" s="3"/>
      <c r="D2305" s="47"/>
      <c r="E2305" s="47"/>
      <c r="F2305" s="191"/>
      <c r="G2305" s="48"/>
      <c r="H2305" s="48"/>
      <c r="I2305" s="48"/>
      <c r="J2305" s="48"/>
      <c r="K2305" s="48"/>
      <c r="L2305" s="48"/>
      <c r="M2305" s="48"/>
      <c r="N2305" s="48"/>
      <c r="O2305" s="289"/>
      <c r="P2305" s="73"/>
    </row>
    <row r="2306" spans="1:24" ht="15" customHeight="1">
      <c r="D2306" s="47" t="s">
        <v>2361</v>
      </c>
      <c r="G2306" s="26"/>
      <c r="H2306" s="26"/>
      <c r="I2306" s="26"/>
      <c r="J2306" s="26"/>
      <c r="K2306" s="26"/>
      <c r="L2306" s="26"/>
      <c r="M2306" s="26"/>
      <c r="N2306" s="26"/>
      <c r="P2306" s="73"/>
      <c r="Q2306" s="202">
        <v>2087</v>
      </c>
      <c r="R2306" s="210">
        <v>20</v>
      </c>
      <c r="S2306" s="205" t="s">
        <v>163</v>
      </c>
      <c r="T2306" s="206"/>
      <c r="U2306" s="211"/>
      <c r="V2306" s="211"/>
      <c r="W2306" s="213"/>
      <c r="X2306" s="213"/>
    </row>
    <row r="2307" spans="1:24" ht="15" customHeight="1">
      <c r="G2307" s="26"/>
      <c r="H2307" s="26"/>
      <c r="I2307" s="26"/>
      <c r="J2307" s="26"/>
      <c r="K2307" s="26"/>
      <c r="L2307" s="26"/>
      <c r="M2307" s="26"/>
      <c r="N2307" s="26"/>
      <c r="P2307" s="73"/>
      <c r="Q2307" s="202">
        <v>2088</v>
      </c>
      <c r="R2307" s="210">
        <v>20</v>
      </c>
      <c r="S2307" s="205" t="s">
        <v>2627</v>
      </c>
      <c r="T2307" s="206"/>
      <c r="U2307" s="211"/>
      <c r="V2307" s="211"/>
      <c r="W2307" s="213"/>
      <c r="X2307" s="213"/>
    </row>
    <row r="2308" spans="1:24" ht="15" customHeight="1">
      <c r="C2308" s="3">
        <v>20</v>
      </c>
      <c r="D2308" s="15" t="s">
        <v>1654</v>
      </c>
      <c r="E2308" s="312" t="s">
        <v>3093</v>
      </c>
      <c r="G2308" s="26">
        <v>0</v>
      </c>
      <c r="H2308" s="26">
        <v>0</v>
      </c>
      <c r="I2308" s="26">
        <v>701</v>
      </c>
      <c r="J2308" s="26">
        <v>0</v>
      </c>
      <c r="K2308" s="26">
        <v>5000</v>
      </c>
      <c r="L2308" s="26">
        <v>0</v>
      </c>
      <c r="M2308" s="26">
        <v>0</v>
      </c>
      <c r="N2308" s="26">
        <v>0</v>
      </c>
      <c r="O2308" s="285"/>
      <c r="P2308" s="73"/>
      <c r="Q2308" s="202">
        <v>2089</v>
      </c>
      <c r="R2308" s="210">
        <v>20</v>
      </c>
      <c r="S2308" s="205" t="s">
        <v>1654</v>
      </c>
      <c r="T2308" s="206" t="s">
        <v>169</v>
      </c>
      <c r="U2308" s="211">
        <v>5000</v>
      </c>
      <c r="V2308" s="211">
        <v>0</v>
      </c>
      <c r="W2308" s="213">
        <v>0</v>
      </c>
      <c r="X2308" s="213">
        <v>0</v>
      </c>
    </row>
    <row r="2309" spans="1:24" ht="15" customHeight="1">
      <c r="G2309" s="26"/>
      <c r="H2309" s="26"/>
      <c r="I2309" s="26"/>
      <c r="J2309" s="26"/>
      <c r="K2309" s="26"/>
      <c r="L2309" s="26"/>
      <c r="M2309" s="26"/>
      <c r="N2309" s="26"/>
      <c r="R2309" s="210">
        <v>20</v>
      </c>
      <c r="S2309" s="205" t="s">
        <v>2623</v>
      </c>
      <c r="T2309" s="206"/>
      <c r="U2309" s="211"/>
      <c r="V2309" s="211"/>
      <c r="W2309" s="213"/>
      <c r="X2309" s="213"/>
    </row>
    <row r="2310" spans="1:24" s="23" customFormat="1" ht="15" customHeight="1">
      <c r="A2310" s="5" t="s">
        <v>163</v>
      </c>
      <c r="B2310" s="62" t="s">
        <v>2317</v>
      </c>
      <c r="C2310" s="3"/>
      <c r="D2310" s="323" t="s">
        <v>2362</v>
      </c>
      <c r="E2310" s="323"/>
      <c r="F2310" s="324"/>
      <c r="G2310" s="325">
        <f>SUM(G2306:G2309)</f>
        <v>0</v>
      </c>
      <c r="H2310" s="325">
        <f t="shared" ref="H2310:N2310" si="187">SUM(H2306:H2309)</f>
        <v>0</v>
      </c>
      <c r="I2310" s="325">
        <f t="shared" si="187"/>
        <v>701</v>
      </c>
      <c r="J2310" s="325">
        <f t="shared" si="187"/>
        <v>0</v>
      </c>
      <c r="K2310" s="325">
        <f t="shared" si="187"/>
        <v>5000</v>
      </c>
      <c r="L2310" s="325">
        <f t="shared" si="187"/>
        <v>0</v>
      </c>
      <c r="M2310" s="325">
        <f t="shared" si="187"/>
        <v>0</v>
      </c>
      <c r="N2310" s="325">
        <f t="shared" si="187"/>
        <v>0</v>
      </c>
      <c r="O2310" s="291"/>
      <c r="Q2310" s="202">
        <v>2090</v>
      </c>
      <c r="R2310" s="210">
        <v>20</v>
      </c>
      <c r="S2310" s="205" t="s">
        <v>163</v>
      </c>
      <c r="T2310" s="206"/>
      <c r="U2310" s="211">
        <v>5000</v>
      </c>
      <c r="V2310" s="211">
        <v>0</v>
      </c>
      <c r="W2310" s="213">
        <v>0</v>
      </c>
      <c r="X2310" s="213">
        <v>0</v>
      </c>
    </row>
    <row r="2311" spans="1:24" s="46" customFormat="1" ht="15" customHeight="1">
      <c r="B2311" s="14"/>
      <c r="C2311" s="3"/>
      <c r="D2311" s="47"/>
      <c r="E2311" s="47"/>
      <c r="F2311" s="191"/>
      <c r="G2311" s="48"/>
      <c r="H2311" s="48"/>
      <c r="I2311" s="48"/>
      <c r="J2311" s="48"/>
      <c r="K2311" s="48"/>
      <c r="L2311" s="48"/>
      <c r="M2311" s="48"/>
      <c r="N2311" s="48"/>
      <c r="O2311" s="289"/>
      <c r="Q2311" s="202">
        <v>2091</v>
      </c>
    </row>
    <row r="2312" spans="1:24" ht="15" customHeight="1">
      <c r="C2312" s="3">
        <v>20</v>
      </c>
      <c r="D2312" s="15" t="s">
        <v>2366</v>
      </c>
      <c r="G2312" s="26"/>
      <c r="H2312" s="26"/>
      <c r="I2312" s="26"/>
      <c r="J2312" s="26"/>
      <c r="K2312" s="26"/>
      <c r="L2312" s="26"/>
      <c r="M2312" s="26"/>
      <c r="N2312" s="26"/>
      <c r="Q2312" s="202">
        <v>2092</v>
      </c>
      <c r="R2312" s="210">
        <v>20</v>
      </c>
      <c r="S2312" s="205" t="s">
        <v>2633</v>
      </c>
      <c r="T2312" s="206"/>
      <c r="U2312" s="211"/>
      <c r="V2312" s="211"/>
      <c r="W2312" s="213"/>
      <c r="X2312" s="213"/>
    </row>
    <row r="2313" spans="1:24" ht="15" customHeight="1">
      <c r="G2313" s="26"/>
      <c r="H2313" s="26"/>
      <c r="I2313" s="26"/>
      <c r="J2313" s="26"/>
      <c r="K2313" s="26"/>
      <c r="L2313" s="26"/>
      <c r="M2313" s="26"/>
      <c r="N2313" s="26"/>
      <c r="Q2313" s="202">
        <v>2093</v>
      </c>
      <c r="R2313" s="210">
        <v>20</v>
      </c>
      <c r="S2313" s="205" t="s">
        <v>2634</v>
      </c>
      <c r="T2313" s="206"/>
      <c r="U2313" s="211"/>
      <c r="V2313" s="211"/>
      <c r="W2313" s="213"/>
      <c r="X2313" s="213"/>
    </row>
    <row r="2314" spans="1:24" ht="15" customHeight="1">
      <c r="C2314" s="3">
        <v>20</v>
      </c>
      <c r="D2314" s="15" t="s">
        <v>1655</v>
      </c>
      <c r="E2314" s="312" t="s">
        <v>1656</v>
      </c>
      <c r="G2314" s="26">
        <v>277669</v>
      </c>
      <c r="H2314" s="26">
        <v>499788</v>
      </c>
      <c r="I2314" s="26">
        <v>682904</v>
      </c>
      <c r="J2314" s="26">
        <v>672453</v>
      </c>
      <c r="K2314" s="26">
        <v>672453</v>
      </c>
      <c r="L2314" s="26">
        <v>392264</v>
      </c>
      <c r="M2314" s="26">
        <v>672453</v>
      </c>
      <c r="N2314" s="26">
        <v>560000</v>
      </c>
      <c r="O2314" s="285"/>
      <c r="Q2314" s="202">
        <v>2094</v>
      </c>
      <c r="R2314" s="210">
        <v>20</v>
      </c>
      <c r="S2314" s="205" t="s">
        <v>1655</v>
      </c>
      <c r="T2314" s="206" t="s">
        <v>1656</v>
      </c>
      <c r="U2314" s="211">
        <v>672453</v>
      </c>
      <c r="V2314" s="211">
        <v>56037.75</v>
      </c>
      <c r="W2314" s="213">
        <v>448302</v>
      </c>
      <c r="X2314" s="213">
        <v>66.67</v>
      </c>
    </row>
    <row r="2315" spans="1:24" ht="15" customHeight="1">
      <c r="G2315" s="26"/>
      <c r="H2315" s="26"/>
      <c r="I2315" s="26"/>
      <c r="J2315" s="26"/>
      <c r="K2315" s="26"/>
      <c r="L2315" s="26"/>
      <c r="M2315" s="26"/>
      <c r="N2315" s="26"/>
      <c r="Q2315" s="202">
        <v>2095</v>
      </c>
      <c r="R2315" s="210">
        <v>20</v>
      </c>
      <c r="S2315" s="205" t="s">
        <v>2623</v>
      </c>
      <c r="T2315" s="206"/>
      <c r="U2315" s="211"/>
      <c r="V2315" s="211"/>
      <c r="W2315" s="213"/>
      <c r="X2315" s="213"/>
    </row>
    <row r="2316" spans="1:24" s="66" customFormat="1" ht="15" customHeight="1">
      <c r="A2316" s="65" t="s">
        <v>2411</v>
      </c>
      <c r="B2316" s="66" t="s">
        <v>2317</v>
      </c>
      <c r="C2316" s="3">
        <v>20</v>
      </c>
      <c r="D2316" s="337" t="s">
        <v>2366</v>
      </c>
      <c r="E2316" s="337"/>
      <c r="F2316" s="338"/>
      <c r="G2316" s="322">
        <f>SUM(G2312:G2315)</f>
        <v>277669</v>
      </c>
      <c r="H2316" s="322">
        <f t="shared" ref="H2316:N2316" si="188">SUM(H2312:H2315)</f>
        <v>499788</v>
      </c>
      <c r="I2316" s="322">
        <f t="shared" si="188"/>
        <v>682904</v>
      </c>
      <c r="J2316" s="322">
        <f t="shared" si="188"/>
        <v>672453</v>
      </c>
      <c r="K2316" s="322">
        <f t="shared" si="188"/>
        <v>672453</v>
      </c>
      <c r="L2316" s="322">
        <f t="shared" si="188"/>
        <v>392264</v>
      </c>
      <c r="M2316" s="322">
        <f t="shared" si="188"/>
        <v>672453</v>
      </c>
      <c r="N2316" s="322">
        <f t="shared" si="188"/>
        <v>560000</v>
      </c>
      <c r="O2316" s="298"/>
      <c r="Q2316" s="202">
        <v>2096</v>
      </c>
      <c r="R2316" s="210">
        <v>20</v>
      </c>
      <c r="S2316" s="205" t="s">
        <v>2633</v>
      </c>
      <c r="T2316" s="206"/>
      <c r="U2316" s="211">
        <v>672453</v>
      </c>
      <c r="V2316" s="211">
        <v>56037.75</v>
      </c>
      <c r="W2316" s="213">
        <v>448302</v>
      </c>
      <c r="X2316" s="213">
        <v>0</v>
      </c>
    </row>
    <row r="2317" spans="1:24" ht="15" customHeight="1">
      <c r="G2317" s="26"/>
      <c r="H2317" s="26"/>
      <c r="I2317" s="26"/>
      <c r="J2317" s="26"/>
      <c r="K2317" s="26"/>
      <c r="L2317" s="26"/>
      <c r="M2317" s="26"/>
      <c r="N2317" s="26"/>
      <c r="Q2317" s="202">
        <v>2097</v>
      </c>
      <c r="R2317" s="210">
        <v>20</v>
      </c>
      <c r="S2317" s="205" t="s">
        <v>2623</v>
      </c>
      <c r="T2317" s="206"/>
      <c r="U2317" s="211"/>
      <c r="V2317" s="211"/>
      <c r="W2317" s="213"/>
      <c r="X2317" s="213"/>
    </row>
    <row r="2318" spans="1:24" s="43" customFormat="1" ht="15" customHeight="1" thickBot="1">
      <c r="B2318" s="43" t="s">
        <v>2317</v>
      </c>
      <c r="C2318" s="3"/>
      <c r="D2318" s="68" t="s">
        <v>1999</v>
      </c>
      <c r="E2318" s="326"/>
      <c r="F2318" s="327"/>
      <c r="G2318" s="328">
        <f>+G2316+G2310+G2304+G2296+G2290</f>
        <v>311830</v>
      </c>
      <c r="H2318" s="328">
        <f t="shared" ref="H2318:N2318" si="189">+H2316+H2310+H2304+H2296+H2290</f>
        <v>538980</v>
      </c>
      <c r="I2318" s="328">
        <f t="shared" si="189"/>
        <v>698280</v>
      </c>
      <c r="J2318" s="328">
        <f t="shared" si="189"/>
        <v>707603</v>
      </c>
      <c r="K2318" s="328">
        <f t="shared" si="189"/>
        <v>707453</v>
      </c>
      <c r="L2318" s="328">
        <f t="shared" si="189"/>
        <v>415599</v>
      </c>
      <c r="M2318" s="328">
        <f t="shared" si="189"/>
        <v>703203</v>
      </c>
      <c r="N2318" s="328">
        <f t="shared" si="189"/>
        <v>590750</v>
      </c>
      <c r="O2318" s="288"/>
      <c r="Q2318" s="202">
        <v>2098</v>
      </c>
      <c r="R2318" s="210">
        <v>20</v>
      </c>
      <c r="S2318" s="205" t="s">
        <v>1311</v>
      </c>
      <c r="T2318" s="206"/>
      <c r="U2318" s="211">
        <v>707453</v>
      </c>
      <c r="V2318" s="211">
        <v>56474.75</v>
      </c>
      <c r="W2318" s="213">
        <v>472074.11</v>
      </c>
      <c r="X2318" s="213">
        <v>66.73</v>
      </c>
    </row>
    <row r="2319" spans="1:24" s="45" customFormat="1" ht="15" customHeight="1" thickTop="1">
      <c r="C2319" s="3"/>
      <c r="D2319" s="47"/>
      <c r="E2319" s="15"/>
      <c r="F2319" s="105"/>
      <c r="G2319" s="26"/>
      <c r="H2319" s="26"/>
      <c r="I2319" s="26"/>
      <c r="J2319" s="26"/>
      <c r="K2319" s="26"/>
      <c r="L2319" s="26"/>
      <c r="M2319" s="26"/>
      <c r="N2319" s="26"/>
      <c r="O2319" s="275"/>
      <c r="Q2319" s="202">
        <v>2099</v>
      </c>
      <c r="R2319" s="210">
        <v>20</v>
      </c>
      <c r="S2319" s="205" t="s">
        <v>104</v>
      </c>
      <c r="T2319" s="206"/>
      <c r="U2319" s="211"/>
      <c r="V2319" s="211"/>
      <c r="W2319" s="213"/>
      <c r="X2319" s="213"/>
    </row>
    <row r="2320" spans="1:24" s="45" customFormat="1" ht="15" customHeight="1">
      <c r="C2320" s="3"/>
      <c r="D2320" s="47"/>
      <c r="E2320" s="15"/>
      <c r="F2320" s="105"/>
      <c r="G2320" s="26"/>
      <c r="H2320" s="26"/>
      <c r="I2320" s="26"/>
      <c r="J2320" s="26"/>
      <c r="K2320" s="26"/>
      <c r="L2320" s="26"/>
      <c r="M2320" s="26"/>
      <c r="N2320" s="26"/>
      <c r="O2320" s="275"/>
    </row>
    <row r="2321" spans="1:24" s="45" customFormat="1" ht="15" customHeight="1">
      <c r="C2321" s="3"/>
      <c r="D2321" s="47"/>
      <c r="E2321" s="15"/>
      <c r="F2321" s="105"/>
      <c r="G2321" s="26"/>
      <c r="H2321" s="26"/>
      <c r="I2321" s="26"/>
      <c r="J2321" s="26"/>
      <c r="K2321" s="26"/>
      <c r="L2321" s="26"/>
      <c r="M2321" s="26"/>
      <c r="N2321" s="26"/>
      <c r="O2321" s="275"/>
    </row>
    <row r="2322" spans="1:24" s="45" customFormat="1" ht="15" customHeight="1">
      <c r="C2322" s="3"/>
      <c r="D2322" s="47" t="s">
        <v>1312</v>
      </c>
      <c r="E2322" s="15"/>
      <c r="F2322" s="105"/>
      <c r="G2322" s="26"/>
      <c r="H2322" s="26"/>
      <c r="I2322" s="26"/>
      <c r="J2322" s="26"/>
      <c r="K2322" s="26"/>
      <c r="L2322" s="26"/>
      <c r="M2322" s="26"/>
      <c r="N2322" s="26"/>
      <c r="O2322" s="275"/>
    </row>
    <row r="2323" spans="1:24" s="45" customFormat="1" ht="15" customHeight="1">
      <c r="C2323" s="3"/>
      <c r="D2323" s="47"/>
      <c r="E2323" s="15"/>
      <c r="F2323" s="105"/>
      <c r="G2323" s="26"/>
      <c r="H2323" s="26"/>
      <c r="I2323" s="26"/>
      <c r="J2323" s="26"/>
      <c r="K2323" s="26"/>
      <c r="L2323" s="26"/>
      <c r="M2323" s="26"/>
      <c r="N2323" s="26"/>
      <c r="O2323" s="275"/>
    </row>
    <row r="2324" spans="1:24" ht="15" customHeight="1">
      <c r="D2324" s="47" t="s">
        <v>2363</v>
      </c>
      <c r="G2324" s="26"/>
      <c r="H2324" s="26"/>
      <c r="I2324" s="26"/>
      <c r="J2324" s="26"/>
      <c r="K2324" s="26"/>
      <c r="L2324" s="26"/>
      <c r="M2324" s="26"/>
      <c r="N2324" s="26"/>
    </row>
    <row r="2325" spans="1:24" ht="15" customHeight="1">
      <c r="G2325" s="26"/>
      <c r="H2325" s="26"/>
      <c r="I2325" s="26"/>
      <c r="J2325" s="26"/>
      <c r="K2325" s="26"/>
      <c r="L2325" s="26"/>
      <c r="M2325" s="26"/>
      <c r="N2325" s="26"/>
      <c r="Q2325" s="202">
        <v>2100</v>
      </c>
      <c r="R2325" s="210">
        <v>20</v>
      </c>
      <c r="S2325" s="205" t="s">
        <v>2624</v>
      </c>
      <c r="T2325" s="206"/>
      <c r="U2325" s="211"/>
      <c r="V2325" s="211"/>
      <c r="W2325" s="213"/>
      <c r="X2325" s="213"/>
    </row>
    <row r="2326" spans="1:24" ht="15" customHeight="1">
      <c r="C2326" s="3">
        <v>20</v>
      </c>
      <c r="D2326" s="15" t="s">
        <v>1657</v>
      </c>
      <c r="E2326" s="312" t="s">
        <v>106</v>
      </c>
      <c r="G2326" s="26">
        <v>0</v>
      </c>
      <c r="H2326" s="26">
        <v>0</v>
      </c>
      <c r="I2326" s="26">
        <v>0</v>
      </c>
      <c r="J2326" s="26">
        <v>0</v>
      </c>
      <c r="K2326" s="26">
        <v>0</v>
      </c>
      <c r="L2326" s="26">
        <v>0</v>
      </c>
      <c r="M2326" s="26">
        <v>0</v>
      </c>
      <c r="N2326" s="26">
        <v>0</v>
      </c>
      <c r="O2326" s="285"/>
      <c r="Q2326" s="202">
        <v>2101</v>
      </c>
      <c r="R2326" s="210">
        <v>20</v>
      </c>
      <c r="S2326" s="205" t="s">
        <v>1657</v>
      </c>
      <c r="T2326" s="206" t="s">
        <v>106</v>
      </c>
      <c r="U2326" s="211">
        <v>0</v>
      </c>
      <c r="V2326" s="211">
        <v>0</v>
      </c>
      <c r="W2326" s="213">
        <v>0</v>
      </c>
      <c r="X2326" s="213">
        <v>0</v>
      </c>
    </row>
    <row r="2327" spans="1:24" ht="15" customHeight="1">
      <c r="G2327" s="26"/>
      <c r="H2327" s="26"/>
      <c r="I2327" s="26"/>
      <c r="J2327" s="26"/>
      <c r="K2327" s="26"/>
      <c r="L2327" s="26"/>
      <c r="M2327" s="26"/>
      <c r="N2327" s="26"/>
      <c r="Q2327" s="202">
        <v>2102</v>
      </c>
      <c r="R2327" s="210">
        <v>20</v>
      </c>
      <c r="S2327" s="205" t="s">
        <v>2623</v>
      </c>
      <c r="T2327" s="206"/>
      <c r="U2327" s="211"/>
      <c r="V2327" s="211"/>
      <c r="W2327" s="213"/>
      <c r="X2327" s="213"/>
    </row>
    <row r="2328" spans="1:24" s="200" customFormat="1" ht="15" customHeight="1">
      <c r="A2328" s="196" t="s">
        <v>104</v>
      </c>
      <c r="B2328" s="201" t="s">
        <v>2317</v>
      </c>
      <c r="C2328" s="75"/>
      <c r="D2328" s="323" t="s">
        <v>2364</v>
      </c>
      <c r="E2328" s="323"/>
      <c r="F2328" s="324"/>
      <c r="G2328" s="325">
        <f>SUM(G2324:G2327)</f>
        <v>0</v>
      </c>
      <c r="H2328" s="325">
        <f t="shared" ref="H2328:N2328" si="190">SUM(H2324:H2327)</f>
        <v>0</v>
      </c>
      <c r="I2328" s="325">
        <f t="shared" si="190"/>
        <v>0</v>
      </c>
      <c r="J2328" s="325">
        <f t="shared" si="190"/>
        <v>0</v>
      </c>
      <c r="K2328" s="325">
        <f t="shared" si="190"/>
        <v>0</v>
      </c>
      <c r="L2328" s="325">
        <f t="shared" si="190"/>
        <v>0</v>
      </c>
      <c r="M2328" s="325">
        <f t="shared" si="190"/>
        <v>0</v>
      </c>
      <c r="N2328" s="325">
        <f t="shared" si="190"/>
        <v>0</v>
      </c>
      <c r="O2328" s="287"/>
      <c r="Q2328" s="202">
        <v>2103</v>
      </c>
      <c r="R2328" s="210">
        <v>20</v>
      </c>
      <c r="S2328" s="205" t="s">
        <v>104</v>
      </c>
      <c r="T2328" s="206"/>
      <c r="U2328" s="211">
        <v>0</v>
      </c>
      <c r="V2328" s="211">
        <v>0</v>
      </c>
      <c r="W2328" s="213">
        <v>0</v>
      </c>
      <c r="X2328" s="213">
        <v>0</v>
      </c>
    </row>
    <row r="2329" spans="1:24" s="46" customFormat="1" ht="15" customHeight="1">
      <c r="B2329" s="14"/>
      <c r="C2329" s="3"/>
      <c r="D2329" s="47"/>
      <c r="E2329" s="47"/>
      <c r="F2329" s="191"/>
      <c r="G2329" s="48"/>
      <c r="H2329" s="48"/>
      <c r="I2329" s="48"/>
      <c r="J2329" s="48"/>
      <c r="K2329" s="48"/>
      <c r="L2329" s="48"/>
      <c r="M2329" s="26"/>
      <c r="N2329" s="26"/>
      <c r="O2329" s="289"/>
      <c r="Q2329" s="202">
        <v>2104</v>
      </c>
      <c r="R2329" s="210">
        <v>20</v>
      </c>
      <c r="S2329" s="205" t="s">
        <v>2633</v>
      </c>
      <c r="T2329" s="206"/>
      <c r="U2329" s="211"/>
      <c r="V2329" s="211"/>
      <c r="W2329" s="213"/>
      <c r="X2329" s="213"/>
    </row>
    <row r="2330" spans="1:24" ht="15" customHeight="1">
      <c r="C2330" s="3">
        <v>20</v>
      </c>
      <c r="D2330" s="15" t="s">
        <v>1661</v>
      </c>
      <c r="E2330" s="312" t="s">
        <v>2556</v>
      </c>
      <c r="G2330" s="26">
        <v>1049888</v>
      </c>
      <c r="H2330" s="26">
        <v>1065767</v>
      </c>
      <c r="I2330" s="26">
        <v>1174481</v>
      </c>
      <c r="J2330" s="26">
        <v>1221841</v>
      </c>
      <c r="K2330" s="26">
        <v>1271873</v>
      </c>
      <c r="L2330" s="26">
        <v>741926</v>
      </c>
      <c r="M2330" s="26">
        <v>1271873</v>
      </c>
      <c r="N2330" s="26">
        <f>+N2759-N2757</f>
        <v>1358782</v>
      </c>
      <c r="O2330" s="285" t="s">
        <v>3055</v>
      </c>
      <c r="Q2330" s="202">
        <v>2106</v>
      </c>
      <c r="R2330" s="210">
        <v>20</v>
      </c>
      <c r="S2330" s="205" t="s">
        <v>1661</v>
      </c>
      <c r="T2330" s="206" t="s">
        <v>2556</v>
      </c>
      <c r="U2330" s="211">
        <v>1271873</v>
      </c>
      <c r="V2330" s="211">
        <v>105989.42</v>
      </c>
      <c r="W2330" s="213">
        <v>847915.36</v>
      </c>
      <c r="X2330" s="213">
        <v>66.67</v>
      </c>
    </row>
    <row r="2331" spans="1:24" ht="15" customHeight="1">
      <c r="G2331" s="26"/>
      <c r="H2331" s="26"/>
      <c r="I2331" s="26"/>
      <c r="J2331" s="26"/>
      <c r="K2331" s="26"/>
      <c r="L2331" s="26"/>
      <c r="M2331" s="26"/>
      <c r="N2331" s="26"/>
      <c r="Q2331" s="202">
        <v>2107</v>
      </c>
      <c r="R2331" s="210">
        <v>20</v>
      </c>
      <c r="S2331" s="205" t="s">
        <v>2623</v>
      </c>
      <c r="T2331" s="206"/>
      <c r="U2331" s="211"/>
      <c r="V2331" s="211"/>
      <c r="W2331" s="213"/>
      <c r="X2331" s="213"/>
    </row>
    <row r="2332" spans="1:24" s="66" customFormat="1" ht="15" customHeight="1">
      <c r="A2332" s="65" t="s">
        <v>2411</v>
      </c>
      <c r="B2332" s="66" t="s">
        <v>2317</v>
      </c>
      <c r="C2332" s="3">
        <v>20</v>
      </c>
      <c r="D2332" s="337" t="s">
        <v>2365</v>
      </c>
      <c r="E2332" s="337"/>
      <c r="F2332" s="338"/>
      <c r="G2332" s="322">
        <f t="shared" ref="G2332:N2332" si="191">SUM(G2330:G2331)</f>
        <v>1049888</v>
      </c>
      <c r="H2332" s="322">
        <f t="shared" si="191"/>
        <v>1065767</v>
      </c>
      <c r="I2332" s="322">
        <f t="shared" si="191"/>
        <v>1174481</v>
      </c>
      <c r="J2332" s="322">
        <f t="shared" si="191"/>
        <v>1221841</v>
      </c>
      <c r="K2332" s="322">
        <f t="shared" si="191"/>
        <v>1271873</v>
      </c>
      <c r="L2332" s="322">
        <f t="shared" si="191"/>
        <v>741926</v>
      </c>
      <c r="M2332" s="322">
        <f t="shared" si="191"/>
        <v>1271873</v>
      </c>
      <c r="N2332" s="322">
        <f t="shared" si="191"/>
        <v>1358782</v>
      </c>
      <c r="O2332" s="298"/>
      <c r="Q2332" s="202">
        <v>2108</v>
      </c>
      <c r="R2332" s="210">
        <v>20</v>
      </c>
      <c r="S2332" s="205" t="s">
        <v>2633</v>
      </c>
      <c r="T2332" s="206"/>
      <c r="U2332" s="211">
        <v>1271873</v>
      </c>
      <c r="V2332" s="211">
        <v>105989.42</v>
      </c>
      <c r="W2332" s="213">
        <v>847915.36</v>
      </c>
      <c r="X2332" s="213">
        <v>0</v>
      </c>
    </row>
    <row r="2333" spans="1:24" ht="15" customHeight="1">
      <c r="G2333" s="26"/>
      <c r="H2333" s="26"/>
      <c r="I2333" s="26"/>
      <c r="J2333" s="26"/>
      <c r="K2333" s="26"/>
      <c r="L2333" s="26"/>
      <c r="M2333" s="26"/>
      <c r="N2333" s="26"/>
      <c r="Q2333" s="202">
        <v>2109</v>
      </c>
      <c r="R2333" s="210">
        <v>20</v>
      </c>
      <c r="S2333" s="205" t="s">
        <v>2623</v>
      </c>
      <c r="T2333" s="206"/>
      <c r="U2333" s="211"/>
      <c r="V2333" s="211"/>
      <c r="W2333" s="213"/>
      <c r="X2333" s="213"/>
    </row>
    <row r="2334" spans="1:24" s="43" customFormat="1" ht="15" customHeight="1" thickBot="1">
      <c r="B2334" s="43" t="s">
        <v>2317</v>
      </c>
      <c r="C2334" s="3"/>
      <c r="D2334" s="68" t="s">
        <v>2000</v>
      </c>
      <c r="E2334" s="326"/>
      <c r="F2334" s="327"/>
      <c r="G2334" s="328">
        <f t="shared" ref="G2334:N2334" si="192">+G2332+G2328</f>
        <v>1049888</v>
      </c>
      <c r="H2334" s="328">
        <f t="shared" si="192"/>
        <v>1065767</v>
      </c>
      <c r="I2334" s="328">
        <f t="shared" si="192"/>
        <v>1174481</v>
      </c>
      <c r="J2334" s="328">
        <f t="shared" si="192"/>
        <v>1221841</v>
      </c>
      <c r="K2334" s="328">
        <f t="shared" si="192"/>
        <v>1271873</v>
      </c>
      <c r="L2334" s="328">
        <f t="shared" si="192"/>
        <v>741926</v>
      </c>
      <c r="M2334" s="328">
        <f t="shared" si="192"/>
        <v>1271873</v>
      </c>
      <c r="N2334" s="328">
        <f t="shared" si="192"/>
        <v>1358782</v>
      </c>
      <c r="O2334" s="288"/>
      <c r="Q2334" s="202">
        <v>2110</v>
      </c>
      <c r="R2334" s="210">
        <v>20</v>
      </c>
      <c r="S2334" s="205" t="s">
        <v>1312</v>
      </c>
      <c r="T2334" s="206"/>
      <c r="U2334" s="211">
        <v>1271873</v>
      </c>
      <c r="V2334" s="211">
        <v>105989.42</v>
      </c>
      <c r="W2334" s="213">
        <v>847915.36</v>
      </c>
      <c r="X2334" s="213">
        <v>66.67</v>
      </c>
    </row>
    <row r="2335" spans="1:24" s="45" customFormat="1" ht="15" customHeight="1" thickTop="1">
      <c r="C2335" s="3"/>
      <c r="D2335" s="47"/>
      <c r="E2335" s="15"/>
      <c r="F2335" s="105"/>
      <c r="G2335" s="26"/>
      <c r="H2335" s="26"/>
      <c r="I2335" s="26"/>
      <c r="J2335" s="26"/>
      <c r="K2335" s="26"/>
      <c r="L2335" s="26"/>
      <c r="M2335" s="26"/>
      <c r="N2335" s="26"/>
      <c r="O2335" s="275"/>
    </row>
    <row r="2336" spans="1:24" s="45" customFormat="1" ht="15" customHeight="1">
      <c r="C2336" s="3"/>
      <c r="D2336" s="47"/>
      <c r="E2336" s="15"/>
      <c r="F2336" s="105"/>
      <c r="G2336" s="26"/>
      <c r="H2336" s="26"/>
      <c r="I2336" s="26"/>
      <c r="J2336" s="26"/>
      <c r="K2336" s="26"/>
      <c r="L2336" s="26"/>
      <c r="M2336" s="26"/>
      <c r="N2336" s="26"/>
      <c r="O2336" s="275"/>
    </row>
    <row r="2337" spans="1:24" s="45" customFormat="1" ht="15" customHeight="1">
      <c r="C2337" s="3"/>
      <c r="D2337" s="47" t="s">
        <v>1313</v>
      </c>
      <c r="E2337" s="15"/>
      <c r="F2337" s="105"/>
      <c r="G2337" s="26"/>
      <c r="H2337" s="26"/>
      <c r="I2337" s="26"/>
      <c r="J2337" s="26"/>
      <c r="K2337" s="26"/>
      <c r="L2337" s="26"/>
      <c r="M2337" s="26"/>
      <c r="N2337" s="26"/>
      <c r="O2337" s="275"/>
    </row>
    <row r="2338" spans="1:24" s="45" customFormat="1" ht="15" customHeight="1">
      <c r="C2338" s="3"/>
      <c r="D2338" s="47"/>
      <c r="E2338" s="15"/>
      <c r="F2338" s="105"/>
      <c r="G2338" s="26"/>
      <c r="H2338" s="26"/>
      <c r="I2338" s="26"/>
      <c r="J2338" s="26"/>
      <c r="K2338" s="26"/>
      <c r="L2338" s="26"/>
      <c r="M2338" s="26"/>
      <c r="N2338" s="26"/>
      <c r="O2338" s="275"/>
    </row>
    <row r="2339" spans="1:24" ht="15" customHeight="1">
      <c r="D2339" s="47" t="s">
        <v>2367</v>
      </c>
      <c r="G2339" s="26"/>
      <c r="H2339" s="26"/>
      <c r="I2339" s="26"/>
      <c r="J2339" s="26"/>
      <c r="K2339" s="26"/>
      <c r="L2339" s="26"/>
      <c r="M2339" s="26"/>
      <c r="N2339" s="26"/>
      <c r="Q2339" s="202">
        <v>2111</v>
      </c>
      <c r="R2339" s="210">
        <v>20</v>
      </c>
      <c r="S2339" s="205" t="s">
        <v>104</v>
      </c>
      <c r="T2339" s="206"/>
      <c r="U2339" s="211"/>
      <c r="V2339" s="211"/>
      <c r="W2339" s="213"/>
      <c r="X2339" s="213"/>
    </row>
    <row r="2340" spans="1:24" ht="15" customHeight="1">
      <c r="G2340" s="26"/>
      <c r="H2340" s="26"/>
      <c r="I2340" s="26"/>
      <c r="J2340" s="26"/>
      <c r="K2340" s="26"/>
      <c r="L2340" s="26"/>
      <c r="M2340" s="26"/>
      <c r="N2340" s="26"/>
      <c r="Q2340" s="202">
        <v>2112</v>
      </c>
      <c r="R2340" s="210">
        <v>20</v>
      </c>
      <c r="S2340" s="205" t="s">
        <v>2624</v>
      </c>
      <c r="T2340" s="206"/>
      <c r="U2340" s="211"/>
      <c r="V2340" s="211"/>
      <c r="W2340" s="213"/>
      <c r="X2340" s="213"/>
    </row>
    <row r="2341" spans="1:24" ht="15" customHeight="1">
      <c r="C2341" s="3">
        <v>20</v>
      </c>
      <c r="D2341" s="15" t="s">
        <v>1662</v>
      </c>
      <c r="E2341" s="312" t="s">
        <v>106</v>
      </c>
      <c r="G2341" s="26">
        <v>0</v>
      </c>
      <c r="H2341" s="26">
        <v>0</v>
      </c>
      <c r="I2341" s="26">
        <v>0</v>
      </c>
      <c r="J2341" s="26">
        <v>0</v>
      </c>
      <c r="K2341" s="26">
        <v>0</v>
      </c>
      <c r="L2341" s="26">
        <v>0</v>
      </c>
      <c r="M2341" s="26">
        <v>0</v>
      </c>
      <c r="N2341" s="26">
        <v>0</v>
      </c>
      <c r="O2341" s="285"/>
      <c r="Q2341" s="202">
        <v>2113</v>
      </c>
      <c r="R2341" s="210">
        <v>20</v>
      </c>
      <c r="S2341" s="205" t="s">
        <v>1662</v>
      </c>
      <c r="T2341" s="206" t="s">
        <v>106</v>
      </c>
      <c r="U2341" s="211">
        <v>0</v>
      </c>
      <c r="V2341" s="211">
        <v>0</v>
      </c>
      <c r="W2341" s="213">
        <v>0</v>
      </c>
      <c r="X2341" s="213">
        <v>0</v>
      </c>
    </row>
    <row r="2342" spans="1:24" ht="15" customHeight="1">
      <c r="G2342" s="26"/>
      <c r="H2342" s="26"/>
      <c r="I2342" s="26"/>
      <c r="J2342" s="26"/>
      <c r="K2342" s="26"/>
      <c r="L2342" s="26"/>
      <c r="M2342" s="26"/>
      <c r="N2342" s="26"/>
      <c r="Q2342" s="202">
        <v>2114</v>
      </c>
      <c r="R2342" s="210">
        <v>20</v>
      </c>
      <c r="S2342" s="205" t="s">
        <v>2623</v>
      </c>
      <c r="T2342" s="206"/>
      <c r="U2342" s="211"/>
      <c r="V2342" s="211"/>
      <c r="W2342" s="213"/>
      <c r="X2342" s="213"/>
    </row>
    <row r="2343" spans="1:24" s="200" customFormat="1" ht="15" customHeight="1">
      <c r="A2343" s="196" t="s">
        <v>104</v>
      </c>
      <c r="B2343" s="201" t="s">
        <v>2317</v>
      </c>
      <c r="C2343" s="75"/>
      <c r="D2343" s="323" t="s">
        <v>2368</v>
      </c>
      <c r="E2343" s="323"/>
      <c r="F2343" s="324"/>
      <c r="G2343" s="325">
        <f>SUM(G2339:G2342)</f>
        <v>0</v>
      </c>
      <c r="H2343" s="325">
        <f t="shared" ref="H2343:N2343" si="193">SUM(H2339:H2342)</f>
        <v>0</v>
      </c>
      <c r="I2343" s="325">
        <f t="shared" si="193"/>
        <v>0</v>
      </c>
      <c r="J2343" s="325">
        <f t="shared" si="193"/>
        <v>0</v>
      </c>
      <c r="K2343" s="325">
        <f t="shared" si="193"/>
        <v>0</v>
      </c>
      <c r="L2343" s="325">
        <f t="shared" si="193"/>
        <v>0</v>
      </c>
      <c r="M2343" s="325">
        <f t="shared" si="193"/>
        <v>0</v>
      </c>
      <c r="N2343" s="325">
        <f t="shared" si="193"/>
        <v>0</v>
      </c>
      <c r="O2343" s="287"/>
      <c r="Q2343" s="202">
        <v>2115</v>
      </c>
      <c r="R2343" s="210">
        <v>20</v>
      </c>
      <c r="S2343" s="205" t="s">
        <v>104</v>
      </c>
      <c r="T2343" s="206"/>
      <c r="U2343" s="211">
        <v>0</v>
      </c>
      <c r="V2343" s="211">
        <v>0</v>
      </c>
      <c r="W2343" s="213">
        <v>0</v>
      </c>
      <c r="X2343" s="213">
        <v>0</v>
      </c>
    </row>
    <row r="2344" spans="1:24" s="46" customFormat="1" ht="15" customHeight="1">
      <c r="B2344" s="14"/>
      <c r="C2344" s="3"/>
      <c r="D2344" s="47"/>
      <c r="E2344" s="47"/>
      <c r="F2344" s="191"/>
      <c r="G2344" s="48"/>
      <c r="H2344" s="48"/>
      <c r="I2344" s="48"/>
      <c r="J2344" s="48"/>
      <c r="K2344" s="48"/>
      <c r="L2344" s="48"/>
      <c r="M2344" s="48"/>
      <c r="N2344" s="48"/>
      <c r="O2344" s="289"/>
      <c r="Q2344" s="202">
        <v>2116</v>
      </c>
      <c r="R2344" s="210">
        <v>20</v>
      </c>
      <c r="S2344" s="205" t="s">
        <v>135</v>
      </c>
      <c r="T2344" s="206"/>
      <c r="U2344" s="211"/>
      <c r="V2344" s="211"/>
      <c r="W2344" s="213"/>
      <c r="X2344" s="213"/>
    </row>
    <row r="2345" spans="1:24" ht="15" customHeight="1">
      <c r="D2345" s="47" t="s">
        <v>2369</v>
      </c>
      <c r="G2345" s="26"/>
      <c r="H2345" s="26"/>
      <c r="I2345" s="26"/>
      <c r="J2345" s="26"/>
      <c r="K2345" s="26"/>
      <c r="L2345" s="26"/>
      <c r="M2345" s="26"/>
      <c r="N2345" s="26"/>
      <c r="Q2345" s="202">
        <v>2117</v>
      </c>
      <c r="R2345" s="210">
        <v>20</v>
      </c>
      <c r="S2345" s="205" t="s">
        <v>2626</v>
      </c>
      <c r="T2345" s="206"/>
      <c r="U2345" s="211"/>
      <c r="V2345" s="211"/>
      <c r="W2345" s="213"/>
      <c r="X2345" s="213"/>
    </row>
    <row r="2346" spans="1:24" ht="15" customHeight="1">
      <c r="G2346" s="26"/>
      <c r="H2346" s="26"/>
      <c r="I2346" s="26"/>
      <c r="J2346" s="26"/>
      <c r="K2346" s="26"/>
      <c r="L2346" s="26"/>
      <c r="M2346" s="26"/>
      <c r="N2346" s="26"/>
    </row>
    <row r="2347" spans="1:24" ht="15" customHeight="1">
      <c r="C2347" s="3">
        <v>20</v>
      </c>
      <c r="D2347" s="15" t="s">
        <v>1663</v>
      </c>
      <c r="E2347" s="312" t="s">
        <v>1664</v>
      </c>
      <c r="G2347" s="26">
        <v>0</v>
      </c>
      <c r="H2347" s="26">
        <v>0</v>
      </c>
      <c r="I2347" s="26">
        <v>0</v>
      </c>
      <c r="J2347" s="26">
        <v>0</v>
      </c>
      <c r="K2347" s="26">
        <v>0</v>
      </c>
      <c r="L2347" s="26">
        <v>0</v>
      </c>
      <c r="M2347" s="26">
        <v>0</v>
      </c>
      <c r="N2347" s="26">
        <v>0</v>
      </c>
      <c r="O2347" s="285"/>
      <c r="Q2347" s="202">
        <v>2118</v>
      </c>
      <c r="R2347" s="210">
        <v>20</v>
      </c>
      <c r="S2347" s="205" t="s">
        <v>1663</v>
      </c>
      <c r="T2347" s="206" t="s">
        <v>1664</v>
      </c>
      <c r="U2347" s="211">
        <v>0</v>
      </c>
      <c r="V2347" s="211">
        <v>0</v>
      </c>
      <c r="W2347" s="213">
        <v>0</v>
      </c>
      <c r="X2347" s="213">
        <v>0</v>
      </c>
    </row>
    <row r="2348" spans="1:24" ht="15" customHeight="1">
      <c r="C2348" s="3">
        <v>20</v>
      </c>
      <c r="D2348" s="15" t="s">
        <v>1665</v>
      </c>
      <c r="E2348" s="312" t="s">
        <v>1666</v>
      </c>
      <c r="G2348" s="26">
        <v>-847</v>
      </c>
      <c r="H2348" s="26">
        <v>640</v>
      </c>
      <c r="I2348" s="26">
        <v>0</v>
      </c>
      <c r="J2348" s="26">
        <v>0</v>
      </c>
      <c r="K2348" s="26">
        <v>0</v>
      </c>
      <c r="L2348" s="26">
        <v>0</v>
      </c>
      <c r="M2348" s="26">
        <v>0</v>
      </c>
      <c r="N2348" s="26">
        <v>0</v>
      </c>
      <c r="O2348" s="285"/>
      <c r="Q2348" s="202">
        <v>2119</v>
      </c>
      <c r="R2348" s="210">
        <v>20</v>
      </c>
      <c r="S2348" s="205" t="s">
        <v>1665</v>
      </c>
      <c r="T2348" s="206" t="s">
        <v>1666</v>
      </c>
      <c r="U2348" s="211">
        <v>0</v>
      </c>
      <c r="V2348" s="211">
        <v>0</v>
      </c>
      <c r="W2348" s="213">
        <v>0</v>
      </c>
      <c r="X2348" s="213">
        <v>0</v>
      </c>
    </row>
    <row r="2349" spans="1:24" ht="15" customHeight="1">
      <c r="G2349" s="26"/>
      <c r="H2349" s="26"/>
      <c r="I2349" s="26"/>
      <c r="J2349" s="26"/>
      <c r="K2349" s="26"/>
      <c r="L2349" s="26"/>
      <c r="M2349" s="26"/>
      <c r="N2349" s="26"/>
      <c r="Q2349" s="202">
        <v>2120</v>
      </c>
      <c r="R2349" s="210">
        <v>20</v>
      </c>
      <c r="S2349" s="205" t="s">
        <v>2623</v>
      </c>
      <c r="T2349" s="206"/>
      <c r="U2349" s="211"/>
      <c r="V2349" s="211"/>
      <c r="W2349" s="213"/>
      <c r="X2349" s="213"/>
    </row>
    <row r="2350" spans="1:24" s="22" customFormat="1" ht="15" customHeight="1">
      <c r="A2350" s="5" t="s">
        <v>135</v>
      </c>
      <c r="B2350" s="62" t="s">
        <v>2317</v>
      </c>
      <c r="C2350" s="3"/>
      <c r="D2350" s="323" t="s">
        <v>3094</v>
      </c>
      <c r="E2350" s="323"/>
      <c r="F2350" s="324"/>
      <c r="G2350" s="325">
        <f>SUM(G2345:G2349)</f>
        <v>-847</v>
      </c>
      <c r="H2350" s="325">
        <f t="shared" ref="H2350:N2350" si="194">SUM(H2345:H2349)</f>
        <v>640</v>
      </c>
      <c r="I2350" s="325">
        <f t="shared" si="194"/>
        <v>0</v>
      </c>
      <c r="J2350" s="325">
        <f t="shared" si="194"/>
        <v>0</v>
      </c>
      <c r="K2350" s="325">
        <f t="shared" si="194"/>
        <v>0</v>
      </c>
      <c r="L2350" s="325">
        <f t="shared" si="194"/>
        <v>0</v>
      </c>
      <c r="M2350" s="325">
        <f t="shared" si="194"/>
        <v>0</v>
      </c>
      <c r="N2350" s="325">
        <f t="shared" si="194"/>
        <v>0</v>
      </c>
      <c r="O2350" s="290"/>
      <c r="Q2350" s="202">
        <v>2121</v>
      </c>
      <c r="R2350" s="210">
        <v>20</v>
      </c>
      <c r="S2350" s="205" t="s">
        <v>135</v>
      </c>
      <c r="T2350" s="206"/>
      <c r="U2350" s="211">
        <v>0</v>
      </c>
      <c r="V2350" s="211">
        <v>0</v>
      </c>
      <c r="W2350" s="213">
        <v>0</v>
      </c>
      <c r="X2350" s="213">
        <v>0</v>
      </c>
    </row>
    <row r="2351" spans="1:24" ht="15" customHeight="1">
      <c r="G2351" s="26"/>
      <c r="H2351" s="26"/>
      <c r="I2351" s="26"/>
      <c r="J2351" s="26"/>
      <c r="K2351" s="26"/>
      <c r="L2351" s="26"/>
      <c r="M2351" s="26"/>
      <c r="N2351" s="26"/>
      <c r="Q2351" s="202">
        <v>2122</v>
      </c>
      <c r="R2351" s="210">
        <v>20</v>
      </c>
      <c r="S2351" s="205" t="s">
        <v>2623</v>
      </c>
      <c r="T2351" s="206"/>
      <c r="U2351" s="211"/>
      <c r="V2351" s="211"/>
      <c r="W2351" s="213"/>
      <c r="X2351" s="213"/>
    </row>
    <row r="2352" spans="1:24" s="43" customFormat="1" ht="15" customHeight="1" thickBot="1">
      <c r="B2352" s="43" t="s">
        <v>2317</v>
      </c>
      <c r="C2352" s="3"/>
      <c r="D2352" s="68" t="s">
        <v>2001</v>
      </c>
      <c r="E2352" s="326"/>
      <c r="F2352" s="327"/>
      <c r="G2352" s="328">
        <f>+G2350+G2343</f>
        <v>-847</v>
      </c>
      <c r="H2352" s="328">
        <f t="shared" ref="H2352:N2352" si="195">+H2350+H2343</f>
        <v>640</v>
      </c>
      <c r="I2352" s="328">
        <f t="shared" si="195"/>
        <v>0</v>
      </c>
      <c r="J2352" s="328">
        <f t="shared" si="195"/>
        <v>0</v>
      </c>
      <c r="K2352" s="328">
        <f t="shared" si="195"/>
        <v>0</v>
      </c>
      <c r="L2352" s="328">
        <f t="shared" si="195"/>
        <v>0</v>
      </c>
      <c r="M2352" s="328">
        <f t="shared" si="195"/>
        <v>0</v>
      </c>
      <c r="N2352" s="328">
        <f t="shared" si="195"/>
        <v>0</v>
      </c>
      <c r="O2352" s="288"/>
      <c r="Q2352" s="202">
        <v>2123</v>
      </c>
      <c r="R2352" s="210">
        <v>20</v>
      </c>
      <c r="S2352" s="205" t="s">
        <v>1313</v>
      </c>
      <c r="T2352" s="206"/>
      <c r="U2352" s="211">
        <v>0</v>
      </c>
      <c r="V2352" s="211">
        <v>0</v>
      </c>
      <c r="W2352" s="213">
        <v>0</v>
      </c>
      <c r="X2352" s="213">
        <v>0</v>
      </c>
    </row>
    <row r="2353" spans="1:24" s="49" customFormat="1" ht="15" customHeight="1" thickTop="1">
      <c r="A2353" s="45"/>
      <c r="B2353" s="45"/>
      <c r="C2353" s="3"/>
      <c r="D2353" s="47"/>
      <c r="E2353" s="15"/>
      <c r="F2353" s="105"/>
      <c r="G2353" s="26"/>
      <c r="H2353" s="26"/>
      <c r="I2353" s="26"/>
      <c r="J2353" s="26"/>
      <c r="K2353" s="26"/>
      <c r="L2353" s="26"/>
      <c r="M2353" s="25"/>
      <c r="N2353" s="25"/>
      <c r="O2353" s="299"/>
    </row>
    <row r="2354" spans="1:24" s="49" customFormat="1" ht="15" customHeight="1">
      <c r="A2354" s="45"/>
      <c r="B2354" s="45"/>
      <c r="C2354" s="3"/>
      <c r="D2354" s="47"/>
      <c r="E2354" s="15"/>
      <c r="F2354" s="105"/>
      <c r="G2354" s="26"/>
      <c r="H2354" s="26"/>
      <c r="I2354" s="26"/>
      <c r="J2354" s="26"/>
      <c r="K2354" s="26"/>
      <c r="L2354" s="26"/>
      <c r="M2354" s="26"/>
      <c r="N2354" s="26"/>
      <c r="O2354" s="299"/>
    </row>
    <row r="2355" spans="1:24" s="31" customFormat="1" ht="15" customHeight="1">
      <c r="A2355" s="39"/>
      <c r="B2355" s="11" t="s">
        <v>2317</v>
      </c>
      <c r="C2355" s="3"/>
      <c r="D2355" s="47" t="s">
        <v>2269</v>
      </c>
      <c r="E2355" s="47"/>
      <c r="F2355" s="191"/>
      <c r="G2355" s="56">
        <f t="shared" ref="G2355:N2355" si="196">+G2352+G2334+G2318+G2281+G2181+G2069+G1941</f>
        <v>4886001</v>
      </c>
      <c r="H2355" s="56">
        <f t="shared" si="196"/>
        <v>5615534</v>
      </c>
      <c r="I2355" s="56">
        <f t="shared" si="196"/>
        <v>6003117</v>
      </c>
      <c r="J2355" s="56">
        <f t="shared" si="196"/>
        <v>6117512</v>
      </c>
      <c r="K2355" s="56">
        <f t="shared" si="196"/>
        <v>6348855</v>
      </c>
      <c r="L2355" s="56">
        <f t="shared" si="196"/>
        <v>3537038</v>
      </c>
      <c r="M2355" s="56">
        <f t="shared" si="196"/>
        <v>6060488.5</v>
      </c>
      <c r="N2355" s="56">
        <f t="shared" si="196"/>
        <v>6580778.4000000004</v>
      </c>
      <c r="O2355" s="300"/>
      <c r="Q2355" s="202">
        <v>2124</v>
      </c>
      <c r="R2355" s="210">
        <v>20</v>
      </c>
      <c r="S2355" s="205" t="s">
        <v>2618</v>
      </c>
      <c r="T2355" s="206"/>
      <c r="U2355" s="211">
        <v>6348855</v>
      </c>
      <c r="V2355" s="211">
        <v>519087.8</v>
      </c>
      <c r="W2355" s="213">
        <v>4056121.25</v>
      </c>
      <c r="X2355" s="213">
        <v>63.89</v>
      </c>
    </row>
    <row r="2356" spans="1:24" s="46" customFormat="1" ht="15" customHeight="1">
      <c r="B2356" s="14"/>
      <c r="C2356" s="3"/>
      <c r="D2356" s="47"/>
      <c r="E2356" s="47"/>
      <c r="F2356" s="191"/>
      <c r="G2356" s="56"/>
      <c r="H2356" s="56"/>
      <c r="I2356" s="56"/>
      <c r="J2356" s="56"/>
      <c r="K2356" s="56"/>
      <c r="L2356" s="56"/>
      <c r="M2356" s="56"/>
      <c r="N2356" s="56"/>
      <c r="O2356" s="289"/>
    </row>
    <row r="2357" spans="1:24" s="33" customFormat="1" ht="15" customHeight="1" thickBot="1">
      <c r="B2357" s="10" t="s">
        <v>2317</v>
      </c>
      <c r="C2357" s="3"/>
      <c r="D2357" s="329" t="s">
        <v>2243</v>
      </c>
      <c r="E2357" s="329"/>
      <c r="F2357" s="330"/>
      <c r="G2357" s="336">
        <f t="shared" ref="G2357:N2357" si="197">+G1860-G2355</f>
        <v>587965</v>
      </c>
      <c r="H2357" s="336">
        <f t="shared" si="197"/>
        <v>-53360</v>
      </c>
      <c r="I2357" s="336">
        <f t="shared" si="197"/>
        <v>-408645</v>
      </c>
      <c r="J2357" s="336">
        <f t="shared" si="197"/>
        <v>-123271</v>
      </c>
      <c r="K2357" s="336">
        <f t="shared" si="197"/>
        <v>4288</v>
      </c>
      <c r="L2357" s="336">
        <f t="shared" si="197"/>
        <v>-96199</v>
      </c>
      <c r="M2357" s="336">
        <f t="shared" si="197"/>
        <v>151879.5</v>
      </c>
      <c r="N2357" s="336">
        <f t="shared" si="197"/>
        <v>33546.599999999627</v>
      </c>
      <c r="O2357" s="301"/>
      <c r="Q2357" s="202">
        <v>2125</v>
      </c>
      <c r="R2357" s="210">
        <v>20</v>
      </c>
      <c r="S2357" s="205" t="s">
        <v>2619</v>
      </c>
      <c r="T2357" s="206"/>
      <c r="U2357" s="211">
        <v>4288</v>
      </c>
      <c r="V2357" s="211">
        <v>-3966.51</v>
      </c>
      <c r="W2357" s="213">
        <v>-100161.21</v>
      </c>
      <c r="X2357" s="213">
        <v>0</v>
      </c>
    </row>
    <row r="2358" spans="1:24" s="46" customFormat="1" ht="15" customHeight="1" thickTop="1">
      <c r="B2358" s="14"/>
      <c r="C2358" s="3"/>
      <c r="D2358" s="47"/>
      <c r="E2358" s="47"/>
      <c r="F2358" s="191"/>
      <c r="G2358" s="56"/>
      <c r="H2358" s="56"/>
      <c r="I2358" s="56"/>
      <c r="J2358" s="56"/>
      <c r="K2358" s="56"/>
      <c r="L2358" s="56"/>
      <c r="M2358" s="56"/>
      <c r="N2358" s="56"/>
      <c r="O2358" s="289"/>
    </row>
    <row r="2359" spans="1:24" ht="15" customHeight="1">
      <c r="D2359" s="54" t="s">
        <v>2875</v>
      </c>
      <c r="E2359" s="54"/>
      <c r="F2359" s="192"/>
      <c r="G2359" s="55"/>
      <c r="H2359" s="55"/>
      <c r="I2359" s="55"/>
      <c r="J2359" s="55"/>
      <c r="K2359" s="55">
        <f>+K1830</f>
        <v>1083594</v>
      </c>
      <c r="L2359" s="55"/>
      <c r="M2359" s="55">
        <f>+M1830</f>
        <v>1231185.5</v>
      </c>
      <c r="N2359" s="55">
        <f>+N1830</f>
        <v>1264732.0999999996</v>
      </c>
      <c r="O2359" s="253">
        <f>+O1830</f>
        <v>0</v>
      </c>
      <c r="P2359" s="203"/>
      <c r="Q2359" s="204"/>
      <c r="R2359" s="205"/>
      <c r="S2359" s="206"/>
      <c r="T2359" s="207"/>
      <c r="U2359" s="207"/>
      <c r="V2359" s="208"/>
      <c r="W2359" s="212"/>
    </row>
    <row r="2360" spans="1:24" s="46" customFormat="1" ht="15" customHeight="1">
      <c r="B2360" s="14"/>
      <c r="C2360" s="3"/>
      <c r="D2360" s="47"/>
      <c r="E2360" s="47"/>
      <c r="F2360" s="191"/>
      <c r="G2360" s="56"/>
      <c r="H2360" s="56"/>
      <c r="I2360" s="56"/>
      <c r="J2360" s="56"/>
      <c r="K2360" s="56"/>
      <c r="L2360" s="56"/>
      <c r="M2360" s="56"/>
      <c r="N2360" s="56"/>
      <c r="O2360" s="289"/>
    </row>
    <row r="2361" spans="1:24" s="35" customFormat="1" ht="15" customHeight="1">
      <c r="B2361" s="2"/>
      <c r="C2361" s="3"/>
      <c r="D2361" s="47" t="s">
        <v>1976</v>
      </c>
      <c r="E2361" s="47"/>
      <c r="F2361" s="191"/>
      <c r="G2361" s="48"/>
      <c r="H2361" s="48"/>
      <c r="I2361" s="48"/>
      <c r="J2361" s="48"/>
      <c r="K2361" s="48"/>
      <c r="L2361" s="48"/>
      <c r="M2361" s="48"/>
      <c r="N2361" s="48"/>
      <c r="O2361" s="276"/>
      <c r="Q2361" s="202">
        <v>2126</v>
      </c>
      <c r="R2361" s="210">
        <v>20</v>
      </c>
      <c r="S2361" s="205" t="s">
        <v>2630</v>
      </c>
      <c r="T2361" s="206"/>
      <c r="U2361" s="211"/>
      <c r="V2361" s="211"/>
      <c r="W2361" s="213"/>
      <c r="X2361" s="213"/>
    </row>
    <row r="2362" spans="1:24" ht="15" customHeight="1">
      <c r="G2362" s="26"/>
      <c r="H2362" s="26"/>
      <c r="I2362" s="26"/>
      <c r="J2362" s="26"/>
      <c r="K2362" s="26"/>
      <c r="L2362" s="26"/>
      <c r="M2362" s="26"/>
      <c r="N2362" s="26"/>
    </row>
    <row r="2363" spans="1:24" ht="15" customHeight="1">
      <c r="G2363" s="26"/>
      <c r="H2363" s="26"/>
      <c r="I2363" s="26"/>
      <c r="J2363" s="26"/>
      <c r="K2363" s="26"/>
      <c r="L2363" s="26"/>
      <c r="M2363" s="26"/>
      <c r="N2363" s="26"/>
    </row>
    <row r="2364" spans="1:24" ht="15" customHeight="1">
      <c r="G2364" s="26"/>
      <c r="H2364" s="26"/>
      <c r="I2364" s="26"/>
      <c r="J2364" s="26"/>
      <c r="K2364" s="26"/>
      <c r="L2364" s="26"/>
      <c r="M2364" s="26"/>
      <c r="N2364" s="26"/>
    </row>
    <row r="2365" spans="1:24" ht="15" customHeight="1">
      <c r="C2365" s="3">
        <v>25</v>
      </c>
      <c r="D2365" s="47" t="s">
        <v>2407</v>
      </c>
      <c r="G2365" s="26"/>
      <c r="H2365" s="26"/>
      <c r="I2365" s="26"/>
      <c r="J2365" s="26"/>
      <c r="K2365" s="26"/>
      <c r="L2365" s="26"/>
      <c r="M2365" s="26"/>
      <c r="N2365" s="26"/>
    </row>
    <row r="2366" spans="1:24" ht="15" customHeight="1">
      <c r="C2366" s="3">
        <v>25</v>
      </c>
      <c r="D2366" s="47"/>
      <c r="G2366" s="26"/>
      <c r="H2366" s="26"/>
      <c r="I2366" s="26"/>
      <c r="J2366" s="26"/>
      <c r="K2366" s="26"/>
      <c r="L2366" s="26"/>
      <c r="M2366" s="26"/>
      <c r="N2366" s="26"/>
    </row>
    <row r="2367" spans="1:24" ht="15" customHeight="1">
      <c r="C2367" s="3">
        <v>25</v>
      </c>
      <c r="D2367" s="54" t="s">
        <v>2874</v>
      </c>
      <c r="E2367" s="54"/>
      <c r="F2367" s="192"/>
      <c r="G2367" s="55"/>
      <c r="H2367" s="55"/>
      <c r="I2367" s="55"/>
      <c r="J2367" s="55">
        <v>0</v>
      </c>
      <c r="K2367" s="55">
        <v>0</v>
      </c>
      <c r="L2367" s="55"/>
      <c r="M2367" s="55">
        <v>0</v>
      </c>
      <c r="N2367" s="55">
        <f>+M2384</f>
        <v>0</v>
      </c>
      <c r="O2367" s="278"/>
      <c r="P2367" s="203"/>
      <c r="Q2367" s="204"/>
      <c r="R2367" s="205"/>
      <c r="S2367" s="206"/>
      <c r="T2367" s="207"/>
      <c r="U2367" s="207"/>
      <c r="V2367" s="208"/>
      <c r="W2367" s="212"/>
    </row>
    <row r="2368" spans="1:24" ht="15" customHeight="1">
      <c r="C2368" s="3">
        <v>25</v>
      </c>
      <c r="D2368" s="47"/>
      <c r="G2368" s="26"/>
      <c r="H2368" s="26"/>
      <c r="I2368" s="26"/>
      <c r="J2368" s="26"/>
      <c r="K2368" s="26"/>
      <c r="L2368" s="26"/>
      <c r="M2368" s="26"/>
      <c r="N2368" s="26"/>
    </row>
    <row r="2369" spans="1:23" ht="15" customHeight="1">
      <c r="C2369" s="3">
        <v>25</v>
      </c>
      <c r="D2369" s="47" t="s">
        <v>2220</v>
      </c>
      <c r="G2369" s="26"/>
      <c r="H2369" s="26"/>
      <c r="I2369" s="26"/>
      <c r="J2369" s="26"/>
      <c r="K2369" s="26"/>
      <c r="L2369" s="26"/>
      <c r="M2369" s="26"/>
      <c r="N2369" s="26"/>
      <c r="P2369" s="214">
        <v>2127</v>
      </c>
      <c r="Q2369" s="215">
        <v>25</v>
      </c>
      <c r="R2369" s="216" t="s">
        <v>2610</v>
      </c>
      <c r="S2369" s="217"/>
      <c r="T2369" s="218"/>
      <c r="U2369" s="218"/>
      <c r="V2369" s="219"/>
      <c r="W2369" s="219"/>
    </row>
    <row r="2370" spans="1:23" ht="15" customHeight="1">
      <c r="C2370" s="3">
        <v>25</v>
      </c>
      <c r="G2370" s="26"/>
      <c r="H2370" s="26"/>
      <c r="I2370" s="26"/>
      <c r="J2370" s="26"/>
      <c r="K2370" s="26"/>
      <c r="L2370" s="26"/>
      <c r="M2370" s="26"/>
      <c r="N2370" s="26"/>
      <c r="P2370" s="214">
        <v>2128</v>
      </c>
      <c r="Q2370" s="215">
        <v>25</v>
      </c>
      <c r="R2370" s="216" t="s">
        <v>2611</v>
      </c>
      <c r="S2370" s="217"/>
      <c r="T2370" s="218"/>
      <c r="U2370" s="218"/>
      <c r="V2370" s="219"/>
      <c r="W2370" s="219"/>
    </row>
    <row r="2371" spans="1:23" s="21" customFormat="1" ht="15" customHeight="1">
      <c r="A2371" s="2"/>
      <c r="B2371" s="2" t="s">
        <v>2318</v>
      </c>
      <c r="C2371" s="3">
        <v>25</v>
      </c>
      <c r="D2371" s="54" t="s">
        <v>2196</v>
      </c>
      <c r="E2371" s="54"/>
      <c r="F2371" s="192"/>
      <c r="G2371" s="55">
        <f>+G2373</f>
        <v>0</v>
      </c>
      <c r="H2371" s="55">
        <f t="shared" ref="H2371:N2371" si="198">+H2373</f>
        <v>0</v>
      </c>
      <c r="I2371" s="55">
        <f t="shared" si="198"/>
        <v>0</v>
      </c>
      <c r="J2371" s="55">
        <f t="shared" si="198"/>
        <v>0</v>
      </c>
      <c r="K2371" s="55">
        <f t="shared" si="198"/>
        <v>0</v>
      </c>
      <c r="L2371" s="55">
        <f t="shared" si="198"/>
        <v>0</v>
      </c>
      <c r="M2371" s="55">
        <f t="shared" si="198"/>
        <v>0</v>
      </c>
      <c r="N2371" s="55">
        <f t="shared" si="198"/>
        <v>0</v>
      </c>
      <c r="O2371" s="279"/>
      <c r="P2371" s="214">
        <v>2129</v>
      </c>
      <c r="Q2371" s="215">
        <v>25</v>
      </c>
      <c r="R2371" s="216" t="s">
        <v>2612</v>
      </c>
      <c r="S2371" s="217"/>
      <c r="T2371" s="218">
        <v>0</v>
      </c>
      <c r="U2371" s="218">
        <v>0</v>
      </c>
      <c r="V2371" s="219">
        <v>0</v>
      </c>
      <c r="W2371" s="219">
        <v>0</v>
      </c>
    </row>
    <row r="2372" spans="1:23" s="57" customFormat="1" ht="15" customHeight="1">
      <c r="A2372" s="5"/>
      <c r="B2372" s="5"/>
      <c r="C2372" s="3">
        <v>25</v>
      </c>
      <c r="D2372" s="54"/>
      <c r="E2372" s="54"/>
      <c r="F2372" s="192"/>
      <c r="G2372" s="55"/>
      <c r="H2372" s="55"/>
      <c r="I2372" s="55"/>
      <c r="J2372" s="55"/>
      <c r="K2372" s="55"/>
      <c r="L2372" s="55"/>
      <c r="M2372" s="55"/>
      <c r="N2372" s="55"/>
      <c r="O2372" s="302"/>
      <c r="P2372" s="220"/>
      <c r="Q2372" s="220"/>
      <c r="R2372" s="220"/>
      <c r="S2372" s="220"/>
      <c r="T2372" s="220"/>
      <c r="U2372" s="220"/>
      <c r="V2372" s="220"/>
      <c r="W2372" s="220"/>
    </row>
    <row r="2373" spans="1:23" s="27" customFormat="1" ht="15" customHeight="1" thickBot="1">
      <c r="A2373" s="2"/>
      <c r="B2373" s="2" t="s">
        <v>2318</v>
      </c>
      <c r="C2373" s="3">
        <v>25</v>
      </c>
      <c r="D2373" s="68" t="str">
        <f>+D2389</f>
        <v>*** TOTAL FUND 25 REVENUES ***</v>
      </c>
      <c r="E2373" s="68"/>
      <c r="F2373" s="68">
        <f>+F2389</f>
        <v>0</v>
      </c>
      <c r="G2373" s="69">
        <f>+G2389</f>
        <v>0</v>
      </c>
      <c r="H2373" s="69">
        <f t="shared" ref="H2373:N2373" si="199">+H2389</f>
        <v>0</v>
      </c>
      <c r="I2373" s="69">
        <f t="shared" si="199"/>
        <v>0</v>
      </c>
      <c r="J2373" s="69">
        <f t="shared" si="199"/>
        <v>0</v>
      </c>
      <c r="K2373" s="69">
        <f t="shared" si="199"/>
        <v>0</v>
      </c>
      <c r="L2373" s="69">
        <f t="shared" si="199"/>
        <v>0</v>
      </c>
      <c r="M2373" s="69">
        <f t="shared" si="199"/>
        <v>0</v>
      </c>
      <c r="N2373" s="69">
        <f t="shared" si="199"/>
        <v>0</v>
      </c>
      <c r="O2373" s="281"/>
      <c r="P2373" s="214">
        <v>2130</v>
      </c>
      <c r="Q2373" s="215">
        <v>25</v>
      </c>
      <c r="R2373" s="216" t="s">
        <v>2613</v>
      </c>
      <c r="S2373" s="217"/>
      <c r="T2373" s="218">
        <v>0</v>
      </c>
      <c r="U2373" s="218">
        <v>0</v>
      </c>
      <c r="V2373" s="219">
        <v>0</v>
      </c>
      <c r="W2373" s="219">
        <v>0</v>
      </c>
    </row>
    <row r="2374" spans="1:23" s="46" customFormat="1" ht="15" customHeight="1" thickTop="1">
      <c r="A2374" s="5"/>
      <c r="B2374" s="5"/>
      <c r="C2374" s="3">
        <v>25</v>
      </c>
      <c r="D2374" s="47"/>
      <c r="E2374" s="47"/>
      <c r="F2374" s="47"/>
      <c r="G2374" s="56"/>
      <c r="H2374" s="56"/>
      <c r="I2374" s="56"/>
      <c r="J2374" s="56"/>
      <c r="K2374" s="56"/>
      <c r="L2374" s="56"/>
      <c r="M2374" s="56"/>
      <c r="N2374" s="56"/>
      <c r="O2374" s="289"/>
      <c r="P2374" s="214">
        <v>2131</v>
      </c>
      <c r="Q2374" s="215">
        <v>25</v>
      </c>
      <c r="R2374" s="216" t="s">
        <v>2614</v>
      </c>
      <c r="S2374" s="217"/>
      <c r="T2374" s="218"/>
      <c r="U2374" s="218"/>
      <c r="V2374" s="219"/>
      <c r="W2374" s="219"/>
    </row>
    <row r="2375" spans="1:23" ht="15" customHeight="1">
      <c r="C2375" s="3">
        <v>25</v>
      </c>
      <c r="D2375" s="47" t="s">
        <v>1977</v>
      </c>
      <c r="G2375" s="26"/>
      <c r="H2375" s="26"/>
      <c r="I2375" s="26"/>
      <c r="J2375" s="26"/>
      <c r="K2375" s="26"/>
      <c r="L2375" s="26"/>
      <c r="M2375" s="26"/>
      <c r="N2375" s="26"/>
      <c r="P2375" s="214">
        <v>2132</v>
      </c>
      <c r="Q2375" s="215">
        <v>25</v>
      </c>
      <c r="R2375" s="216" t="s">
        <v>2615</v>
      </c>
      <c r="S2375" s="217"/>
      <c r="T2375" s="218"/>
      <c r="U2375" s="218"/>
      <c r="V2375" s="219"/>
      <c r="W2375" s="219"/>
    </row>
    <row r="2376" spans="1:23" ht="15" customHeight="1">
      <c r="C2376" s="3">
        <v>25</v>
      </c>
      <c r="G2376" s="26"/>
      <c r="H2376" s="26"/>
      <c r="I2376" s="26"/>
      <c r="J2376" s="26"/>
      <c r="K2376" s="26"/>
      <c r="L2376" s="26"/>
      <c r="M2376" s="26"/>
      <c r="N2376" s="26"/>
      <c r="P2376" s="222"/>
      <c r="Q2376" s="222"/>
      <c r="R2376" s="223"/>
      <c r="S2376" s="223"/>
      <c r="T2376" s="223"/>
      <c r="U2376" s="224"/>
      <c r="V2376" s="224"/>
      <c r="W2376" s="223"/>
    </row>
    <row r="2377" spans="1:23" ht="15" customHeight="1">
      <c r="B2377" s="2" t="s">
        <v>2318</v>
      </c>
      <c r="C2377" s="3">
        <v>25</v>
      </c>
      <c r="D2377" s="47" t="s">
        <v>1667</v>
      </c>
      <c r="G2377" s="26">
        <f>+G2401</f>
        <v>13473</v>
      </c>
      <c r="H2377" s="26">
        <f t="shared" ref="H2377:N2377" si="200">+H2401</f>
        <v>0</v>
      </c>
      <c r="I2377" s="26">
        <f t="shared" si="200"/>
        <v>0</v>
      </c>
      <c r="J2377" s="26">
        <f t="shared" si="200"/>
        <v>0</v>
      </c>
      <c r="K2377" s="26">
        <f t="shared" si="200"/>
        <v>0</v>
      </c>
      <c r="L2377" s="26">
        <f t="shared" si="200"/>
        <v>0</v>
      </c>
      <c r="M2377" s="26">
        <f t="shared" si="200"/>
        <v>0</v>
      </c>
      <c r="N2377" s="26">
        <f t="shared" si="200"/>
        <v>0</v>
      </c>
      <c r="P2377" s="214">
        <v>2133</v>
      </c>
      <c r="Q2377" s="215">
        <v>25</v>
      </c>
      <c r="R2377" s="216" t="s">
        <v>1667</v>
      </c>
      <c r="S2377" s="217"/>
      <c r="T2377" s="218">
        <v>0</v>
      </c>
      <c r="U2377" s="218">
        <v>0</v>
      </c>
      <c r="V2377" s="219">
        <v>0</v>
      </c>
      <c r="W2377" s="219">
        <v>0</v>
      </c>
    </row>
    <row r="2378" spans="1:23" ht="15" customHeight="1">
      <c r="C2378" s="3">
        <v>25</v>
      </c>
      <c r="D2378" s="47"/>
      <c r="G2378" s="26"/>
      <c r="H2378" s="26"/>
      <c r="I2378" s="26"/>
      <c r="J2378" s="26"/>
      <c r="K2378" s="26"/>
      <c r="L2378" s="26"/>
      <c r="M2378" s="26"/>
      <c r="N2378" s="26"/>
      <c r="P2378" s="222"/>
      <c r="Q2378" s="222"/>
      <c r="R2378" s="223"/>
      <c r="S2378" s="223"/>
      <c r="T2378" s="223"/>
      <c r="U2378" s="224"/>
      <c r="V2378" s="224"/>
      <c r="W2378" s="223"/>
    </row>
    <row r="2379" spans="1:23" s="37" customFormat="1" ht="15" customHeight="1">
      <c r="A2379" s="2"/>
      <c r="B2379" s="2" t="s">
        <v>2318</v>
      </c>
      <c r="C2379" s="3">
        <v>25</v>
      </c>
      <c r="D2379" s="54" t="str">
        <f>+D2403</f>
        <v>*** TOTAL FUND 25 EXPENSES ***</v>
      </c>
      <c r="E2379" s="54"/>
      <c r="F2379" s="54">
        <f t="shared" ref="F2379:N2379" si="201">+F2403</f>
        <v>0</v>
      </c>
      <c r="G2379" s="339">
        <f t="shared" si="201"/>
        <v>13473</v>
      </c>
      <c r="H2379" s="339">
        <f t="shared" si="201"/>
        <v>0</v>
      </c>
      <c r="I2379" s="339">
        <f t="shared" si="201"/>
        <v>0</v>
      </c>
      <c r="J2379" s="339">
        <f t="shared" si="201"/>
        <v>0</v>
      </c>
      <c r="K2379" s="339">
        <f t="shared" si="201"/>
        <v>0</v>
      </c>
      <c r="L2379" s="339">
        <f t="shared" si="201"/>
        <v>0</v>
      </c>
      <c r="M2379" s="339">
        <f t="shared" si="201"/>
        <v>0</v>
      </c>
      <c r="N2379" s="339">
        <f t="shared" si="201"/>
        <v>0</v>
      </c>
      <c r="O2379" s="303"/>
      <c r="P2379" s="214">
        <v>2134</v>
      </c>
      <c r="Q2379" s="215">
        <v>25</v>
      </c>
      <c r="R2379" s="216" t="s">
        <v>2618</v>
      </c>
      <c r="S2379" s="217"/>
      <c r="T2379" s="218">
        <v>0</v>
      </c>
      <c r="U2379" s="218">
        <v>0</v>
      </c>
      <c r="V2379" s="219">
        <v>0</v>
      </c>
      <c r="W2379" s="219">
        <v>0</v>
      </c>
    </row>
    <row r="2380" spans="1:23" s="46" customFormat="1" ht="15" customHeight="1">
      <c r="A2380" s="5"/>
      <c r="B2380" s="5"/>
      <c r="C2380" s="3">
        <v>25</v>
      </c>
      <c r="D2380" s="47"/>
      <c r="E2380" s="47"/>
      <c r="F2380" s="47"/>
      <c r="G2380" s="56"/>
      <c r="H2380" s="56"/>
      <c r="I2380" s="56"/>
      <c r="J2380" s="56"/>
      <c r="K2380" s="56"/>
      <c r="L2380" s="56"/>
      <c r="M2380" s="56"/>
      <c r="N2380" s="56"/>
      <c r="O2380" s="289"/>
      <c r="P2380" s="221"/>
      <c r="Q2380" s="221"/>
      <c r="R2380" s="221"/>
      <c r="S2380" s="221"/>
      <c r="T2380" s="221"/>
      <c r="U2380" s="221"/>
      <c r="V2380" s="221"/>
      <c r="W2380" s="221"/>
    </row>
    <row r="2381" spans="1:23" s="33" customFormat="1" ht="15" customHeight="1" thickBot="1">
      <c r="A2381" s="2"/>
      <c r="B2381" s="2" t="s">
        <v>2318</v>
      </c>
      <c r="C2381" s="3">
        <v>25</v>
      </c>
      <c r="D2381" s="335" t="str">
        <f>+D2405</f>
        <v>*** FUND 25 REVENUES OVER(UNDER) EXPENSES ***</v>
      </c>
      <c r="E2381" s="336"/>
      <c r="F2381" s="336">
        <f t="shared" ref="F2381:N2381" si="202">+F2405</f>
        <v>0</v>
      </c>
      <c r="G2381" s="336">
        <f>+G2405</f>
        <v>-13473</v>
      </c>
      <c r="H2381" s="336">
        <f t="shared" si="202"/>
        <v>0</v>
      </c>
      <c r="I2381" s="336">
        <f t="shared" si="202"/>
        <v>0</v>
      </c>
      <c r="J2381" s="336">
        <f t="shared" si="202"/>
        <v>0</v>
      </c>
      <c r="K2381" s="336">
        <f t="shared" si="202"/>
        <v>0</v>
      </c>
      <c r="L2381" s="336">
        <f t="shared" si="202"/>
        <v>0</v>
      </c>
      <c r="M2381" s="336">
        <f t="shared" si="202"/>
        <v>0</v>
      </c>
      <c r="N2381" s="336">
        <f t="shared" si="202"/>
        <v>0</v>
      </c>
      <c r="O2381" s="301"/>
      <c r="P2381" s="214">
        <v>2135</v>
      </c>
      <c r="Q2381" s="215">
        <v>25</v>
      </c>
      <c r="R2381" s="216" t="s">
        <v>2619</v>
      </c>
      <c r="S2381" s="217"/>
      <c r="T2381" s="218">
        <v>0</v>
      </c>
      <c r="U2381" s="218">
        <v>0</v>
      </c>
      <c r="V2381" s="219">
        <v>0</v>
      </c>
      <c r="W2381" s="219">
        <v>0</v>
      </c>
    </row>
    <row r="2382" spans="1:23" s="46" customFormat="1" ht="15" customHeight="1" thickTop="1">
      <c r="A2382" s="5"/>
      <c r="B2382" s="5"/>
      <c r="C2382" s="3">
        <v>25</v>
      </c>
      <c r="D2382" s="58"/>
      <c r="E2382" s="56"/>
      <c r="F2382" s="56"/>
      <c r="G2382" s="56"/>
      <c r="H2382" s="56"/>
      <c r="I2382" s="56"/>
      <c r="J2382" s="56"/>
      <c r="K2382" s="56"/>
      <c r="L2382" s="56"/>
      <c r="M2382" s="56"/>
      <c r="N2382" s="56"/>
      <c r="O2382" s="289"/>
      <c r="P2382" s="221"/>
      <c r="Q2382" s="221"/>
      <c r="R2382" s="221"/>
      <c r="S2382" s="221"/>
      <c r="T2382" s="221"/>
      <c r="U2382" s="221"/>
      <c r="V2382" s="221"/>
      <c r="W2382" s="221"/>
    </row>
    <row r="2383" spans="1:23" s="46" customFormat="1" ht="15" customHeight="1">
      <c r="A2383" s="195"/>
      <c r="B2383" s="195"/>
      <c r="C2383" s="3"/>
      <c r="D2383" s="58"/>
      <c r="E2383" s="56"/>
      <c r="F2383" s="56"/>
      <c r="G2383" s="56"/>
      <c r="H2383" s="56"/>
      <c r="I2383" s="56"/>
      <c r="J2383" s="56"/>
      <c r="K2383" s="56"/>
      <c r="L2383" s="56"/>
      <c r="M2383" s="56"/>
      <c r="N2383" s="56"/>
      <c r="O2383" s="289"/>
      <c r="P2383" s="221"/>
      <c r="Q2383" s="221"/>
      <c r="R2383" s="221"/>
      <c r="S2383" s="221"/>
      <c r="T2383" s="221"/>
      <c r="U2383" s="221"/>
      <c r="V2383" s="221"/>
      <c r="W2383" s="221"/>
    </row>
    <row r="2384" spans="1:23" ht="15" customHeight="1">
      <c r="C2384" s="3">
        <v>25</v>
      </c>
      <c r="D2384" s="54" t="s">
        <v>2875</v>
      </c>
      <c r="E2384" s="54"/>
      <c r="F2384" s="192"/>
      <c r="G2384" s="55"/>
      <c r="H2384" s="55"/>
      <c r="I2384" s="55"/>
      <c r="J2384" s="55"/>
      <c r="K2384" s="55">
        <f>+K2367+K2373-K2379</f>
        <v>0</v>
      </c>
      <c r="L2384" s="55"/>
      <c r="M2384" s="55">
        <f>+M2367+M2373-M2379</f>
        <v>0</v>
      </c>
      <c r="N2384" s="55">
        <f>+N2367+N2373-N2379</f>
        <v>0</v>
      </c>
      <c r="O2384" s="253">
        <f>+O1855</f>
        <v>0</v>
      </c>
      <c r="P2384" s="203"/>
      <c r="Q2384" s="204"/>
      <c r="R2384" s="205"/>
      <c r="S2384" s="206"/>
      <c r="T2384" s="207"/>
      <c r="U2384" s="207"/>
      <c r="V2384" s="208"/>
      <c r="W2384" s="212"/>
    </row>
    <row r="2385" spans="1:23" s="46" customFormat="1" ht="15" customHeight="1">
      <c r="A2385" s="5"/>
      <c r="B2385" s="5"/>
      <c r="C2385" s="3">
        <v>25</v>
      </c>
      <c r="D2385" s="58"/>
      <c r="E2385" s="56"/>
      <c r="F2385" s="56"/>
      <c r="G2385" s="56"/>
      <c r="H2385" s="56"/>
      <c r="I2385" s="56"/>
      <c r="J2385" s="56"/>
      <c r="K2385" s="56"/>
      <c r="L2385" s="56"/>
      <c r="M2385" s="26"/>
      <c r="N2385" s="26"/>
      <c r="O2385" s="289"/>
      <c r="P2385" s="221"/>
      <c r="Q2385" s="221"/>
      <c r="R2385" s="221"/>
      <c r="S2385" s="221"/>
      <c r="T2385" s="221"/>
      <c r="U2385" s="221"/>
      <c r="V2385" s="221"/>
      <c r="W2385" s="221"/>
    </row>
    <row r="2386" spans="1:23" ht="15" customHeight="1">
      <c r="C2386" s="3">
        <v>25</v>
      </c>
      <c r="D2386" s="15">
        <v>4130</v>
      </c>
      <c r="E2386" s="312" t="s">
        <v>1668</v>
      </c>
      <c r="G2386" s="26">
        <v>0</v>
      </c>
      <c r="H2386" s="26">
        <v>0</v>
      </c>
      <c r="I2386" s="26">
        <v>0</v>
      </c>
      <c r="J2386" s="26">
        <v>0</v>
      </c>
      <c r="K2386" s="26">
        <v>0</v>
      </c>
      <c r="L2386" s="26">
        <v>0</v>
      </c>
      <c r="M2386" s="26">
        <v>0</v>
      </c>
      <c r="N2386" s="26">
        <v>0</v>
      </c>
      <c r="O2386" s="285"/>
      <c r="P2386" s="214">
        <v>2136</v>
      </c>
      <c r="Q2386" s="215">
        <v>25</v>
      </c>
      <c r="R2386" s="216">
        <v>4130</v>
      </c>
      <c r="S2386" s="217" t="s">
        <v>1668</v>
      </c>
      <c r="T2386" s="218">
        <v>0</v>
      </c>
      <c r="U2386" s="218">
        <v>0</v>
      </c>
      <c r="V2386" s="219">
        <v>0</v>
      </c>
      <c r="W2386" s="219">
        <v>0</v>
      </c>
    </row>
    <row r="2387" spans="1:23" ht="15" customHeight="1">
      <c r="C2387" s="3">
        <v>25</v>
      </c>
      <c r="D2387" s="15">
        <v>4330</v>
      </c>
      <c r="E2387" s="312" t="s">
        <v>1669</v>
      </c>
      <c r="G2387" s="26">
        <v>0</v>
      </c>
      <c r="H2387" s="26">
        <v>0</v>
      </c>
      <c r="I2387" s="26">
        <v>0</v>
      </c>
      <c r="J2387" s="26">
        <v>0</v>
      </c>
      <c r="K2387" s="26">
        <v>0</v>
      </c>
      <c r="L2387" s="26">
        <v>0</v>
      </c>
      <c r="M2387" s="26">
        <v>0</v>
      </c>
      <c r="N2387" s="26">
        <v>0</v>
      </c>
      <c r="O2387" s="285"/>
      <c r="P2387" s="214">
        <v>2137</v>
      </c>
      <c r="Q2387" s="215">
        <v>25</v>
      </c>
      <c r="R2387" s="216">
        <v>4330</v>
      </c>
      <c r="S2387" s="217" t="s">
        <v>1669</v>
      </c>
      <c r="T2387" s="218">
        <v>0</v>
      </c>
      <c r="U2387" s="218">
        <v>0</v>
      </c>
      <c r="V2387" s="219">
        <v>0</v>
      </c>
      <c r="W2387" s="219">
        <v>0</v>
      </c>
    </row>
    <row r="2388" spans="1:23" ht="15" customHeight="1">
      <c r="C2388" s="3">
        <v>25</v>
      </c>
      <c r="E2388" s="14"/>
      <c r="G2388" s="26"/>
      <c r="H2388" s="26"/>
      <c r="I2388" s="26"/>
      <c r="J2388" s="26"/>
      <c r="K2388" s="26"/>
      <c r="L2388" s="26"/>
      <c r="M2388" s="26"/>
      <c r="N2388" s="26"/>
      <c r="P2388" s="222"/>
      <c r="Q2388" s="222"/>
      <c r="R2388" s="222"/>
      <c r="S2388" s="223"/>
      <c r="T2388" s="223"/>
      <c r="U2388" s="223"/>
      <c r="V2388" s="224"/>
      <c r="W2388" s="224"/>
    </row>
    <row r="2389" spans="1:23" s="27" customFormat="1" ht="15" customHeight="1" thickBot="1">
      <c r="A2389" s="2"/>
      <c r="B2389" s="2" t="s">
        <v>2317</v>
      </c>
      <c r="C2389" s="3">
        <v>25</v>
      </c>
      <c r="D2389" s="68" t="s">
        <v>2294</v>
      </c>
      <c r="E2389" s="68"/>
      <c r="F2389" s="320"/>
      <c r="G2389" s="69">
        <f>SUM(G2385:G2388)</f>
        <v>0</v>
      </c>
      <c r="H2389" s="69">
        <f t="shared" ref="H2389:N2389" si="203">SUM(H2385:H2388)</f>
        <v>0</v>
      </c>
      <c r="I2389" s="69">
        <f t="shared" si="203"/>
        <v>0</v>
      </c>
      <c r="J2389" s="69">
        <f t="shared" si="203"/>
        <v>0</v>
      </c>
      <c r="K2389" s="69">
        <f t="shared" si="203"/>
        <v>0</v>
      </c>
      <c r="L2389" s="69">
        <f t="shared" si="203"/>
        <v>0</v>
      </c>
      <c r="M2389" s="69">
        <f t="shared" si="203"/>
        <v>0</v>
      </c>
      <c r="N2389" s="69">
        <f t="shared" si="203"/>
        <v>0</v>
      </c>
      <c r="O2389" s="281"/>
      <c r="P2389" s="214">
        <v>2138</v>
      </c>
      <c r="Q2389" s="215">
        <v>25</v>
      </c>
      <c r="R2389" s="216" t="s">
        <v>2620</v>
      </c>
      <c r="S2389" s="217"/>
      <c r="T2389" s="218">
        <v>0</v>
      </c>
      <c r="U2389" s="218">
        <v>0</v>
      </c>
      <c r="V2389" s="219">
        <v>0</v>
      </c>
      <c r="W2389" s="219">
        <v>0</v>
      </c>
    </row>
    <row r="2390" spans="1:23" s="46" customFormat="1" ht="15" customHeight="1" thickTop="1">
      <c r="A2390" s="5"/>
      <c r="B2390" s="5"/>
      <c r="C2390" s="3">
        <v>25</v>
      </c>
      <c r="D2390" s="47"/>
      <c r="E2390" s="47"/>
      <c r="F2390" s="191"/>
      <c r="G2390" s="56"/>
      <c r="H2390" s="56"/>
      <c r="I2390" s="56"/>
      <c r="J2390" s="56"/>
      <c r="K2390" s="56"/>
      <c r="L2390" s="56"/>
      <c r="M2390" s="56"/>
      <c r="N2390" s="56"/>
      <c r="O2390" s="289"/>
      <c r="P2390" s="214">
        <v>2139</v>
      </c>
      <c r="Q2390" s="215">
        <v>25</v>
      </c>
      <c r="R2390" s="216" t="s">
        <v>245</v>
      </c>
      <c r="S2390" s="217"/>
      <c r="T2390" s="218"/>
      <c r="U2390" s="218"/>
      <c r="V2390" s="219"/>
      <c r="W2390" s="219"/>
    </row>
    <row r="2391" spans="1:23" ht="15" customHeight="1">
      <c r="C2391" s="3">
        <v>25</v>
      </c>
      <c r="D2391" s="47" t="s">
        <v>1975</v>
      </c>
      <c r="G2391" s="26"/>
      <c r="H2391" s="26"/>
      <c r="I2391" s="26"/>
      <c r="J2391" s="26"/>
      <c r="K2391" s="26"/>
      <c r="L2391" s="26"/>
      <c r="M2391" s="26"/>
      <c r="N2391" s="26"/>
      <c r="P2391" s="214">
        <v>2140</v>
      </c>
      <c r="Q2391" s="215">
        <v>25</v>
      </c>
      <c r="R2391" s="216" t="s">
        <v>2628</v>
      </c>
      <c r="S2391" s="217"/>
      <c r="T2391" s="218"/>
      <c r="U2391" s="218"/>
      <c r="V2391" s="219"/>
      <c r="W2391" s="219"/>
    </row>
    <row r="2392" spans="1:23" ht="15" customHeight="1">
      <c r="C2392" s="3">
        <v>25</v>
      </c>
      <c r="G2392" s="26"/>
      <c r="H2392" s="26"/>
      <c r="I2392" s="26"/>
      <c r="J2392" s="26"/>
      <c r="K2392" s="26"/>
      <c r="L2392" s="26"/>
      <c r="M2392" s="26"/>
      <c r="N2392" s="26"/>
      <c r="P2392" s="222"/>
      <c r="Q2392" s="222"/>
      <c r="R2392" s="222"/>
      <c r="S2392" s="223"/>
      <c r="T2392" s="223"/>
      <c r="U2392" s="223"/>
      <c r="V2392" s="224"/>
      <c r="W2392" s="224"/>
    </row>
    <row r="2393" spans="1:23" ht="15" customHeight="1">
      <c r="C2393" s="3">
        <v>25</v>
      </c>
      <c r="D2393" s="15" t="s">
        <v>1670</v>
      </c>
      <c r="E2393" s="312" t="s">
        <v>1671</v>
      </c>
      <c r="G2393" s="26">
        <v>0</v>
      </c>
      <c r="H2393" s="26">
        <v>0</v>
      </c>
      <c r="I2393" s="26">
        <v>0</v>
      </c>
      <c r="J2393" s="26">
        <v>0</v>
      </c>
      <c r="K2393" s="26">
        <v>0</v>
      </c>
      <c r="L2393" s="26">
        <v>0</v>
      </c>
      <c r="M2393" s="26">
        <v>0</v>
      </c>
      <c r="N2393" s="26">
        <v>0</v>
      </c>
      <c r="O2393" s="285"/>
      <c r="P2393" s="214">
        <v>2141</v>
      </c>
      <c r="Q2393" s="215">
        <v>25</v>
      </c>
      <c r="R2393" s="216" t="s">
        <v>1670</v>
      </c>
      <c r="S2393" s="217" t="s">
        <v>1671</v>
      </c>
      <c r="T2393" s="218">
        <v>0</v>
      </c>
      <c r="U2393" s="218">
        <v>0</v>
      </c>
      <c r="V2393" s="219">
        <v>0</v>
      </c>
      <c r="W2393" s="219">
        <v>0</v>
      </c>
    </row>
    <row r="2394" spans="1:23" ht="15" customHeight="1">
      <c r="C2394" s="3">
        <v>25</v>
      </c>
      <c r="D2394" s="15" t="s">
        <v>1672</v>
      </c>
      <c r="E2394" s="312" t="s">
        <v>1673</v>
      </c>
      <c r="G2394" s="26">
        <v>13473</v>
      </c>
      <c r="H2394" s="26">
        <v>0</v>
      </c>
      <c r="I2394" s="26">
        <v>0</v>
      </c>
      <c r="J2394" s="26">
        <v>0</v>
      </c>
      <c r="K2394" s="26">
        <v>0</v>
      </c>
      <c r="L2394" s="26">
        <v>0</v>
      </c>
      <c r="M2394" s="26">
        <v>0</v>
      </c>
      <c r="N2394" s="26">
        <v>0</v>
      </c>
      <c r="O2394" s="285"/>
      <c r="P2394" s="214">
        <v>2142</v>
      </c>
      <c r="Q2394" s="215">
        <v>25</v>
      </c>
      <c r="R2394" s="216" t="s">
        <v>1672</v>
      </c>
      <c r="S2394" s="217" t="s">
        <v>1673</v>
      </c>
      <c r="T2394" s="218">
        <v>0</v>
      </c>
      <c r="U2394" s="218">
        <v>0</v>
      </c>
      <c r="V2394" s="219">
        <v>0</v>
      </c>
      <c r="W2394" s="219">
        <v>0</v>
      </c>
    </row>
    <row r="2395" spans="1:23" ht="15" customHeight="1">
      <c r="C2395" s="3">
        <v>25</v>
      </c>
      <c r="D2395" s="15" t="s">
        <v>1674</v>
      </c>
      <c r="E2395" s="312" t="s">
        <v>1675</v>
      </c>
      <c r="G2395" s="26">
        <v>0</v>
      </c>
      <c r="H2395" s="26">
        <v>0</v>
      </c>
      <c r="I2395" s="26">
        <v>0</v>
      </c>
      <c r="J2395" s="26">
        <v>0</v>
      </c>
      <c r="K2395" s="26">
        <v>0</v>
      </c>
      <c r="L2395" s="26">
        <v>0</v>
      </c>
      <c r="M2395" s="26">
        <v>0</v>
      </c>
      <c r="N2395" s="26">
        <v>0</v>
      </c>
      <c r="O2395" s="285"/>
      <c r="P2395" s="214">
        <v>2143</v>
      </c>
      <c r="Q2395" s="215">
        <v>25</v>
      </c>
      <c r="R2395" s="216" t="s">
        <v>1674</v>
      </c>
      <c r="S2395" s="217" t="s">
        <v>1675</v>
      </c>
      <c r="T2395" s="218">
        <v>0</v>
      </c>
      <c r="U2395" s="218">
        <v>0</v>
      </c>
      <c r="V2395" s="219">
        <v>0</v>
      </c>
      <c r="W2395" s="219">
        <v>0</v>
      </c>
    </row>
    <row r="2396" spans="1:23" ht="15" customHeight="1">
      <c r="C2396" s="3">
        <v>25</v>
      </c>
      <c r="D2396" s="15" t="s">
        <v>1676</v>
      </c>
      <c r="E2396" s="312" t="s">
        <v>1677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85"/>
      <c r="P2396" s="214">
        <v>2144</v>
      </c>
      <c r="Q2396" s="215">
        <v>25</v>
      </c>
      <c r="R2396" s="216" t="s">
        <v>1676</v>
      </c>
      <c r="S2396" s="217" t="s">
        <v>1677</v>
      </c>
      <c r="T2396" s="218">
        <v>0</v>
      </c>
      <c r="U2396" s="218">
        <v>0</v>
      </c>
      <c r="V2396" s="219">
        <v>0</v>
      </c>
      <c r="W2396" s="219">
        <v>0</v>
      </c>
    </row>
    <row r="2397" spans="1:23" ht="15" customHeight="1">
      <c r="C2397" s="3">
        <v>25</v>
      </c>
      <c r="D2397" s="15" t="s">
        <v>1678</v>
      </c>
      <c r="E2397" s="312" t="s">
        <v>1679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85"/>
      <c r="P2397" s="214">
        <v>2145</v>
      </c>
      <c r="Q2397" s="215">
        <v>25</v>
      </c>
      <c r="R2397" s="216" t="s">
        <v>1678</v>
      </c>
      <c r="S2397" s="217" t="s">
        <v>1679</v>
      </c>
      <c r="T2397" s="218">
        <v>0</v>
      </c>
      <c r="U2397" s="218">
        <v>0</v>
      </c>
      <c r="V2397" s="219">
        <v>0</v>
      </c>
      <c r="W2397" s="219">
        <v>0</v>
      </c>
    </row>
    <row r="2398" spans="1:23" ht="15" customHeight="1">
      <c r="C2398" s="3">
        <v>25</v>
      </c>
      <c r="G2398" s="26"/>
      <c r="H2398" s="26"/>
      <c r="I2398" s="26"/>
      <c r="J2398" s="26"/>
      <c r="K2398" s="26"/>
      <c r="L2398" s="26"/>
      <c r="M2398" s="26"/>
      <c r="N2398" s="26"/>
      <c r="P2398" s="214">
        <v>2146</v>
      </c>
      <c r="Q2398" s="215">
        <v>25</v>
      </c>
      <c r="R2398" s="216" t="s">
        <v>2623</v>
      </c>
      <c r="S2398" s="217"/>
      <c r="T2398" s="218"/>
      <c r="U2398" s="218"/>
      <c r="V2398" s="219"/>
      <c r="W2398" s="219"/>
    </row>
    <row r="2399" spans="1:23" s="24" customFormat="1" ht="15" customHeight="1">
      <c r="A2399" s="2" t="s">
        <v>245</v>
      </c>
      <c r="B2399" s="2" t="s">
        <v>2317</v>
      </c>
      <c r="C2399" s="3">
        <v>25</v>
      </c>
      <c r="D2399" s="323" t="s">
        <v>1971</v>
      </c>
      <c r="E2399" s="323"/>
      <c r="F2399" s="324"/>
      <c r="G2399" s="325">
        <f>SUM(G2391:G2398)</f>
        <v>13473</v>
      </c>
      <c r="H2399" s="325">
        <f t="shared" ref="H2399:N2399" si="204">SUM(H2391:H2398)</f>
        <v>0</v>
      </c>
      <c r="I2399" s="325">
        <f t="shared" si="204"/>
        <v>0</v>
      </c>
      <c r="J2399" s="325">
        <f t="shared" si="204"/>
        <v>0</v>
      </c>
      <c r="K2399" s="325">
        <f t="shared" si="204"/>
        <v>0</v>
      </c>
      <c r="L2399" s="325">
        <f t="shared" si="204"/>
        <v>0</v>
      </c>
      <c r="M2399" s="325">
        <f t="shared" si="204"/>
        <v>0</v>
      </c>
      <c r="N2399" s="325">
        <f t="shared" si="204"/>
        <v>0</v>
      </c>
      <c r="O2399" s="292"/>
      <c r="P2399" s="214">
        <v>2147</v>
      </c>
      <c r="Q2399" s="215">
        <v>25</v>
      </c>
      <c r="R2399" s="216" t="s">
        <v>245</v>
      </c>
      <c r="S2399" s="217"/>
      <c r="T2399" s="218">
        <v>0</v>
      </c>
      <c r="U2399" s="218">
        <v>0</v>
      </c>
      <c r="V2399" s="219">
        <v>0</v>
      </c>
      <c r="W2399" s="219">
        <v>0</v>
      </c>
    </row>
    <row r="2400" spans="1:23" ht="15" customHeight="1">
      <c r="C2400" s="3">
        <v>25</v>
      </c>
      <c r="G2400" s="26"/>
      <c r="H2400" s="26"/>
      <c r="I2400" s="26"/>
      <c r="J2400" s="26"/>
      <c r="K2400" s="26"/>
      <c r="L2400" s="26"/>
      <c r="M2400" s="26"/>
      <c r="N2400" s="26"/>
      <c r="P2400" s="214">
        <v>2148</v>
      </c>
      <c r="Q2400" s="215">
        <v>25</v>
      </c>
      <c r="R2400" s="216" t="s">
        <v>2623</v>
      </c>
      <c r="S2400" s="217"/>
      <c r="T2400" s="218"/>
      <c r="U2400" s="218"/>
      <c r="V2400" s="219"/>
      <c r="W2400" s="219"/>
    </row>
    <row r="2401" spans="1:23" s="53" customFormat="1" ht="15" customHeight="1">
      <c r="B2401" s="53" t="s">
        <v>2318</v>
      </c>
      <c r="C2401" s="3">
        <v>25</v>
      </c>
      <c r="D2401" s="323" t="s">
        <v>1667</v>
      </c>
      <c r="E2401" s="337"/>
      <c r="F2401" s="338"/>
      <c r="G2401" s="322">
        <f>+G2399</f>
        <v>13473</v>
      </c>
      <c r="H2401" s="322">
        <f t="shared" ref="H2401:N2401" si="205">+H2399</f>
        <v>0</v>
      </c>
      <c r="I2401" s="322">
        <f t="shared" si="205"/>
        <v>0</v>
      </c>
      <c r="J2401" s="322">
        <f t="shared" si="205"/>
        <v>0</v>
      </c>
      <c r="K2401" s="322">
        <f t="shared" si="205"/>
        <v>0</v>
      </c>
      <c r="L2401" s="322">
        <f t="shared" si="205"/>
        <v>0</v>
      </c>
      <c r="M2401" s="322">
        <f t="shared" si="205"/>
        <v>0</v>
      </c>
      <c r="N2401" s="322">
        <f t="shared" si="205"/>
        <v>0</v>
      </c>
      <c r="O2401" s="304"/>
      <c r="P2401" s="214">
        <v>2149</v>
      </c>
      <c r="Q2401" s="215">
        <v>25</v>
      </c>
      <c r="R2401" s="216" t="s">
        <v>1667</v>
      </c>
      <c r="S2401" s="217"/>
      <c r="T2401" s="218">
        <v>0</v>
      </c>
      <c r="U2401" s="218">
        <v>0</v>
      </c>
      <c r="V2401" s="219">
        <v>0</v>
      </c>
      <c r="W2401" s="219">
        <v>0</v>
      </c>
    </row>
    <row r="2402" spans="1:23" ht="15" customHeight="1">
      <c r="C2402" s="3">
        <v>25</v>
      </c>
      <c r="D2402" s="47"/>
      <c r="G2402" s="26"/>
      <c r="H2402" s="26"/>
      <c r="I2402" s="26"/>
      <c r="J2402" s="26"/>
      <c r="K2402" s="26"/>
      <c r="L2402" s="26"/>
      <c r="M2402" s="26"/>
      <c r="N2402" s="26"/>
      <c r="P2402" s="222"/>
      <c r="Q2402" s="222"/>
      <c r="R2402" s="222"/>
      <c r="S2402" s="223"/>
      <c r="T2402" s="223"/>
      <c r="U2402" s="223"/>
      <c r="V2402" s="224"/>
      <c r="W2402" s="224"/>
    </row>
    <row r="2403" spans="1:23" s="31" customFormat="1" ht="15" customHeight="1">
      <c r="A2403" s="2"/>
      <c r="B2403" s="2" t="s">
        <v>2317</v>
      </c>
      <c r="C2403" s="3">
        <v>25</v>
      </c>
      <c r="D2403" s="54" t="s">
        <v>2270</v>
      </c>
      <c r="E2403" s="54"/>
      <c r="F2403" s="192"/>
      <c r="G2403" s="339">
        <f>+G2401</f>
        <v>13473</v>
      </c>
      <c r="H2403" s="339">
        <f t="shared" ref="H2403:N2403" si="206">+H2401</f>
        <v>0</v>
      </c>
      <c r="I2403" s="339">
        <f t="shared" si="206"/>
        <v>0</v>
      </c>
      <c r="J2403" s="339">
        <f t="shared" si="206"/>
        <v>0</v>
      </c>
      <c r="K2403" s="339">
        <f t="shared" si="206"/>
        <v>0</v>
      </c>
      <c r="L2403" s="339">
        <f t="shared" si="206"/>
        <v>0</v>
      </c>
      <c r="M2403" s="339">
        <f t="shared" si="206"/>
        <v>0</v>
      </c>
      <c r="N2403" s="339">
        <f t="shared" si="206"/>
        <v>0</v>
      </c>
      <c r="O2403" s="305"/>
      <c r="P2403" s="214">
        <v>2150</v>
      </c>
      <c r="Q2403" s="215">
        <v>25</v>
      </c>
      <c r="R2403" s="216" t="s">
        <v>2618</v>
      </c>
      <c r="S2403" s="217"/>
      <c r="T2403" s="218">
        <v>0</v>
      </c>
      <c r="U2403" s="218">
        <v>0</v>
      </c>
      <c r="V2403" s="219">
        <v>0</v>
      </c>
      <c r="W2403" s="219">
        <v>0</v>
      </c>
    </row>
    <row r="2404" spans="1:23" s="46" customFormat="1" ht="15" customHeight="1">
      <c r="A2404" s="5"/>
      <c r="B2404" s="5"/>
      <c r="C2404" s="3">
        <v>25</v>
      </c>
      <c r="D2404" s="47"/>
      <c r="E2404" s="47"/>
      <c r="F2404" s="191"/>
      <c r="G2404" s="56"/>
      <c r="H2404" s="56"/>
      <c r="I2404" s="56"/>
      <c r="J2404" s="56"/>
      <c r="K2404" s="56"/>
      <c r="L2404" s="56"/>
      <c r="M2404" s="56"/>
      <c r="N2404" s="56"/>
      <c r="O2404" s="289"/>
      <c r="P2404" s="221"/>
      <c r="Q2404" s="221"/>
      <c r="R2404" s="221"/>
      <c r="S2404" s="221"/>
      <c r="T2404" s="221"/>
      <c r="U2404" s="221"/>
      <c r="V2404" s="221"/>
      <c r="W2404" s="221"/>
    </row>
    <row r="2405" spans="1:23" s="33" customFormat="1" ht="15" customHeight="1" thickBot="1">
      <c r="A2405" s="2"/>
      <c r="B2405" s="2" t="s">
        <v>2317</v>
      </c>
      <c r="C2405" s="3">
        <v>25</v>
      </c>
      <c r="D2405" s="329" t="s">
        <v>2244</v>
      </c>
      <c r="E2405" s="329"/>
      <c r="F2405" s="330"/>
      <c r="G2405" s="336">
        <f>+G2389-G2403</f>
        <v>-13473</v>
      </c>
      <c r="H2405" s="336">
        <f t="shared" ref="H2405:N2405" si="207">+H2389-H2403</f>
        <v>0</v>
      </c>
      <c r="I2405" s="336">
        <f t="shared" si="207"/>
        <v>0</v>
      </c>
      <c r="J2405" s="336">
        <f t="shared" si="207"/>
        <v>0</v>
      </c>
      <c r="K2405" s="336">
        <f t="shared" si="207"/>
        <v>0</v>
      </c>
      <c r="L2405" s="336">
        <f t="shared" si="207"/>
        <v>0</v>
      </c>
      <c r="M2405" s="336">
        <f t="shared" si="207"/>
        <v>0</v>
      </c>
      <c r="N2405" s="336">
        <f t="shared" si="207"/>
        <v>0</v>
      </c>
      <c r="O2405" s="301"/>
      <c r="P2405" s="214">
        <v>2151</v>
      </c>
      <c r="Q2405" s="215">
        <v>25</v>
      </c>
      <c r="R2405" s="216" t="s">
        <v>2619</v>
      </c>
      <c r="S2405" s="217"/>
      <c r="T2405" s="218">
        <v>0</v>
      </c>
      <c r="U2405" s="218">
        <v>0</v>
      </c>
      <c r="V2405" s="219">
        <v>0</v>
      </c>
      <c r="W2405" s="219">
        <v>0</v>
      </c>
    </row>
    <row r="2406" spans="1:23" s="46" customFormat="1" ht="15" customHeight="1" thickTop="1">
      <c r="A2406" s="5"/>
      <c r="B2406" s="5"/>
      <c r="C2406" s="3">
        <v>25</v>
      </c>
      <c r="D2406" s="47"/>
      <c r="E2406" s="47"/>
      <c r="F2406" s="191"/>
      <c r="G2406" s="56"/>
      <c r="H2406" s="56"/>
      <c r="I2406" s="56"/>
      <c r="J2406" s="56"/>
      <c r="K2406" s="56"/>
      <c r="L2406" s="56"/>
      <c r="M2406" s="56"/>
      <c r="N2406" s="56"/>
      <c r="O2406" s="47"/>
      <c r="P2406" s="221"/>
      <c r="Q2406" s="221"/>
      <c r="R2406" s="221"/>
      <c r="S2406" s="221"/>
      <c r="T2406" s="221"/>
      <c r="U2406" s="221"/>
      <c r="V2406" s="221"/>
      <c r="W2406" s="221"/>
    </row>
    <row r="2407" spans="1:23" ht="15" customHeight="1">
      <c r="C2407" s="3">
        <v>25</v>
      </c>
      <c r="D2407" s="54" t="s">
        <v>2875</v>
      </c>
      <c r="E2407" s="54"/>
      <c r="F2407" s="192"/>
      <c r="G2407" s="55"/>
      <c r="H2407" s="55"/>
      <c r="I2407" s="55"/>
      <c r="J2407" s="55"/>
      <c r="K2407" s="55">
        <f>+K2384</f>
        <v>0</v>
      </c>
      <c r="L2407" s="55"/>
      <c r="M2407" s="55">
        <f>+M2384</f>
        <v>0</v>
      </c>
      <c r="N2407" s="55">
        <f>+N2384</f>
        <v>0</v>
      </c>
      <c r="O2407" s="253">
        <f>+O2384</f>
        <v>0</v>
      </c>
      <c r="P2407" s="203"/>
      <c r="Q2407" s="204"/>
      <c r="R2407" s="205"/>
      <c r="S2407" s="206"/>
      <c r="T2407" s="207"/>
      <c r="U2407" s="207"/>
      <c r="V2407" s="208"/>
      <c r="W2407" s="212"/>
    </row>
    <row r="2408" spans="1:23" s="46" customFormat="1" ht="15" customHeight="1">
      <c r="A2408" s="195"/>
      <c r="B2408" s="195"/>
      <c r="C2408" s="3">
        <v>25</v>
      </c>
      <c r="D2408" s="47"/>
      <c r="E2408" s="47"/>
      <c r="F2408" s="191"/>
      <c r="G2408" s="56"/>
      <c r="H2408" s="56"/>
      <c r="I2408" s="56"/>
      <c r="J2408" s="56"/>
      <c r="K2408" s="56"/>
      <c r="L2408" s="56"/>
      <c r="M2408" s="56"/>
      <c r="N2408" s="56"/>
      <c r="O2408" s="47"/>
      <c r="P2408" s="221"/>
      <c r="Q2408" s="221"/>
      <c r="R2408" s="221"/>
      <c r="S2408" s="221"/>
      <c r="T2408" s="221"/>
      <c r="U2408" s="221"/>
      <c r="V2408" s="221"/>
      <c r="W2408" s="221"/>
    </row>
    <row r="2409" spans="1:23" s="35" customFormat="1" ht="15" customHeight="1">
      <c r="A2409" s="2"/>
      <c r="B2409" s="2"/>
      <c r="C2409" s="3">
        <v>25</v>
      </c>
      <c r="D2409" s="47" t="s">
        <v>1976</v>
      </c>
      <c r="E2409" s="47"/>
      <c r="F2409" s="191"/>
      <c r="G2409" s="48"/>
      <c r="H2409" s="48"/>
      <c r="I2409" s="48"/>
      <c r="J2409" s="48"/>
      <c r="K2409" s="48"/>
      <c r="L2409" s="48"/>
      <c r="M2409" s="48"/>
      <c r="N2409" s="48"/>
      <c r="O2409" s="16"/>
      <c r="P2409" s="214">
        <v>2152</v>
      </c>
      <c r="Q2409" s="215">
        <v>25</v>
      </c>
      <c r="R2409" s="216" t="s">
        <v>2630</v>
      </c>
      <c r="S2409" s="217"/>
      <c r="T2409" s="218"/>
      <c r="U2409" s="218"/>
      <c r="V2409" s="219"/>
      <c r="W2409" s="219"/>
    </row>
    <row r="2410" spans="1:23" s="35" customFormat="1" ht="15" customHeight="1">
      <c r="A2410" s="2"/>
      <c r="B2410" s="2"/>
      <c r="C2410" s="3"/>
      <c r="D2410" s="47"/>
      <c r="E2410" s="47"/>
      <c r="F2410" s="191"/>
      <c r="G2410" s="48"/>
      <c r="H2410" s="48"/>
      <c r="I2410" s="48"/>
      <c r="J2410" s="48"/>
      <c r="K2410" s="48"/>
      <c r="L2410" s="48"/>
      <c r="M2410" s="48"/>
      <c r="N2410" s="48"/>
      <c r="O2410" s="16"/>
    </row>
    <row r="2411" spans="1:23" s="35" customFormat="1" ht="15" customHeight="1">
      <c r="A2411" s="2"/>
      <c r="B2411" s="2"/>
      <c r="C2411" s="3"/>
      <c r="D2411" s="47"/>
      <c r="E2411" s="47"/>
      <c r="F2411" s="191"/>
      <c r="G2411" s="48"/>
      <c r="H2411" s="48"/>
      <c r="I2411" s="48"/>
      <c r="J2411" s="48"/>
      <c r="K2411" s="48"/>
      <c r="L2411" s="48"/>
      <c r="M2411" s="48"/>
      <c r="N2411" s="48"/>
      <c r="O2411" s="16"/>
    </row>
    <row r="2412" spans="1:23" s="35" customFormat="1" ht="15" customHeight="1">
      <c r="A2412" s="2"/>
      <c r="B2412" s="2"/>
      <c r="C2412" s="3"/>
      <c r="D2412" s="47"/>
      <c r="E2412" s="47"/>
      <c r="F2412" s="191"/>
      <c r="G2412" s="48"/>
      <c r="H2412" s="48"/>
      <c r="I2412" s="48"/>
      <c r="J2412" s="48"/>
      <c r="K2412" s="48"/>
      <c r="L2412" s="48"/>
      <c r="M2412" s="48"/>
      <c r="N2412" s="48"/>
      <c r="O2412" s="16"/>
    </row>
    <row r="2413" spans="1:23" s="35" customFormat="1" ht="15" customHeight="1">
      <c r="A2413" s="2"/>
      <c r="B2413" s="2"/>
      <c r="C2413" s="3">
        <v>30</v>
      </c>
      <c r="D2413" s="47" t="s">
        <v>2408</v>
      </c>
      <c r="E2413" s="47"/>
      <c r="F2413" s="191"/>
      <c r="G2413" s="48"/>
      <c r="H2413" s="48"/>
      <c r="I2413" s="48"/>
      <c r="J2413" s="48"/>
      <c r="K2413" s="48"/>
      <c r="L2413" s="48"/>
      <c r="M2413" s="48"/>
      <c r="N2413" s="48"/>
      <c r="O2413" s="16"/>
    </row>
    <row r="2414" spans="1:23" s="35" customFormat="1" ht="15" customHeight="1">
      <c r="A2414" s="2"/>
      <c r="B2414" s="2"/>
      <c r="C2414" s="3">
        <v>30</v>
      </c>
      <c r="D2414" s="47"/>
      <c r="E2414" s="47"/>
      <c r="F2414" s="191"/>
      <c r="G2414" s="48"/>
      <c r="H2414" s="48"/>
      <c r="I2414" s="48"/>
      <c r="J2414" s="48"/>
      <c r="K2414" s="48"/>
      <c r="L2414" s="48"/>
      <c r="M2414" s="48"/>
      <c r="N2414" s="48"/>
      <c r="O2414" s="16"/>
    </row>
    <row r="2415" spans="1:23" ht="15" customHeight="1">
      <c r="C2415" s="3">
        <v>30</v>
      </c>
      <c r="D2415" s="54" t="s">
        <v>2874</v>
      </c>
      <c r="E2415" s="54"/>
      <c r="F2415" s="192"/>
      <c r="G2415" s="55"/>
      <c r="H2415" s="55"/>
      <c r="I2415" s="55"/>
      <c r="J2415" s="55">
        <f>J2431-J2429</f>
        <v>217143.77</v>
      </c>
      <c r="K2415" s="55">
        <v>228629.77</v>
      </c>
      <c r="L2415" s="55"/>
      <c r="M2415" s="55">
        <f>K2415</f>
        <v>228629.77</v>
      </c>
      <c r="N2415" s="55">
        <f>+M2431</f>
        <v>86021.554999999935</v>
      </c>
      <c r="O2415" s="278"/>
      <c r="P2415" s="203"/>
      <c r="Q2415" s="204"/>
      <c r="R2415" s="205"/>
      <c r="S2415" s="206"/>
      <c r="T2415" s="207"/>
      <c r="U2415" s="207"/>
      <c r="V2415" s="208"/>
      <c r="W2415" s="212"/>
    </row>
    <row r="2416" spans="1:23" s="35" customFormat="1" ht="15" customHeight="1">
      <c r="A2416" s="2"/>
      <c r="B2416" s="2"/>
      <c r="C2416" s="3">
        <v>30</v>
      </c>
      <c r="D2416" s="47"/>
      <c r="E2416" s="47"/>
      <c r="F2416" s="191"/>
      <c r="G2416" s="48"/>
      <c r="H2416" s="48"/>
      <c r="I2416" s="48"/>
      <c r="J2416" s="48"/>
      <c r="K2416" s="48"/>
      <c r="L2416" s="48"/>
      <c r="M2416" s="48"/>
      <c r="N2416" s="48"/>
      <c r="O2416" s="16"/>
    </row>
    <row r="2417" spans="1:23" ht="15" customHeight="1">
      <c r="C2417" s="3">
        <v>30</v>
      </c>
      <c r="D2417" s="47" t="s">
        <v>2221</v>
      </c>
      <c r="G2417" s="26"/>
      <c r="H2417" s="26"/>
      <c r="I2417" s="26"/>
      <c r="J2417" s="26"/>
      <c r="K2417" s="26"/>
      <c r="L2417" s="26"/>
      <c r="M2417" s="26"/>
      <c r="N2417" s="26"/>
      <c r="P2417" s="214">
        <v>2153</v>
      </c>
      <c r="Q2417" s="215">
        <v>30</v>
      </c>
      <c r="R2417" s="216" t="s">
        <v>2610</v>
      </c>
      <c r="S2417" s="217"/>
      <c r="T2417" s="218"/>
      <c r="U2417" s="218"/>
      <c r="V2417" s="219"/>
      <c r="W2417" s="219"/>
    </row>
    <row r="2418" spans="1:23" ht="15" customHeight="1">
      <c r="C2418" s="3">
        <v>30</v>
      </c>
      <c r="G2418" s="26"/>
      <c r="H2418" s="26"/>
      <c r="I2418" s="26"/>
      <c r="J2418" s="26"/>
      <c r="K2418" s="26"/>
      <c r="L2418" s="26"/>
      <c r="M2418" s="26"/>
      <c r="N2418" s="26"/>
      <c r="P2418" s="214">
        <v>2154</v>
      </c>
      <c r="Q2418" s="215">
        <v>30</v>
      </c>
      <c r="R2418" s="216" t="s">
        <v>2611</v>
      </c>
      <c r="S2418" s="217"/>
      <c r="T2418" s="218"/>
      <c r="U2418" s="218"/>
      <c r="V2418" s="219"/>
      <c r="W2418" s="219"/>
    </row>
    <row r="2419" spans="1:23" s="21" customFormat="1" ht="15" customHeight="1">
      <c r="A2419" s="2"/>
      <c r="B2419" s="2" t="s">
        <v>2318</v>
      </c>
      <c r="C2419" s="3">
        <v>30</v>
      </c>
      <c r="D2419" s="54" t="s">
        <v>2197</v>
      </c>
      <c r="E2419" s="54"/>
      <c r="F2419" s="192"/>
      <c r="G2419" s="55">
        <f>+G2421</f>
        <v>254765</v>
      </c>
      <c r="H2419" s="55">
        <f t="shared" ref="H2419:N2419" si="208">+H2421</f>
        <v>166173</v>
      </c>
      <c r="I2419" s="55">
        <f t="shared" si="208"/>
        <v>411770</v>
      </c>
      <c r="J2419" s="55">
        <f t="shared" si="208"/>
        <v>223860</v>
      </c>
      <c r="K2419" s="55">
        <f t="shared" si="208"/>
        <v>285000</v>
      </c>
      <c r="L2419" s="55">
        <f t="shared" si="208"/>
        <v>143636</v>
      </c>
      <c r="M2419" s="55">
        <f t="shared" si="208"/>
        <v>274227.40499999997</v>
      </c>
      <c r="N2419" s="55">
        <f t="shared" si="208"/>
        <v>285000</v>
      </c>
      <c r="O2419" s="17"/>
      <c r="P2419" s="214">
        <v>2155</v>
      </c>
      <c r="Q2419" s="215">
        <v>30</v>
      </c>
      <c r="R2419" s="216" t="s">
        <v>2612</v>
      </c>
      <c r="S2419" s="217"/>
      <c r="T2419" s="218">
        <v>285000</v>
      </c>
      <c r="U2419" s="218">
        <v>29599.99</v>
      </c>
      <c r="V2419" s="219">
        <v>173235.84</v>
      </c>
      <c r="W2419" s="219">
        <v>60.78</v>
      </c>
    </row>
    <row r="2420" spans="1:23" s="57" customFormat="1" ht="15" customHeight="1">
      <c r="A2420" s="5"/>
      <c r="B2420" s="5"/>
      <c r="C2420" s="3">
        <v>30</v>
      </c>
      <c r="D2420" s="54"/>
      <c r="E2420" s="54"/>
      <c r="F2420" s="192"/>
      <c r="G2420" s="55"/>
      <c r="H2420" s="55"/>
      <c r="I2420" s="55"/>
      <c r="J2420" s="55"/>
      <c r="K2420" s="55"/>
      <c r="L2420" s="55"/>
      <c r="M2420" s="55"/>
      <c r="N2420" s="55"/>
      <c r="O2420" s="54"/>
      <c r="P2420" s="220"/>
      <c r="Q2420" s="220"/>
      <c r="R2420" s="220"/>
      <c r="S2420" s="220"/>
      <c r="T2420" s="220"/>
      <c r="U2420" s="220"/>
      <c r="V2420" s="220"/>
      <c r="W2420" s="220"/>
    </row>
    <row r="2421" spans="1:23" s="27" customFormat="1" ht="15" customHeight="1" thickBot="1">
      <c r="A2421" s="2"/>
      <c r="B2421" s="2" t="s">
        <v>2318</v>
      </c>
      <c r="C2421" s="3">
        <v>30</v>
      </c>
      <c r="D2421" s="68" t="str">
        <f>+D2437</f>
        <v>*** TOTAL FUND 30 REVENUES ***</v>
      </c>
      <c r="E2421" s="68"/>
      <c r="F2421" s="68">
        <f>+F2437</f>
        <v>0</v>
      </c>
      <c r="G2421" s="69">
        <f>+G2437</f>
        <v>254765</v>
      </c>
      <c r="H2421" s="69">
        <f t="shared" ref="H2421:N2421" si="209">+H2437</f>
        <v>166173</v>
      </c>
      <c r="I2421" s="69">
        <f t="shared" si="209"/>
        <v>411770</v>
      </c>
      <c r="J2421" s="69">
        <f t="shared" si="209"/>
        <v>223860</v>
      </c>
      <c r="K2421" s="69">
        <f t="shared" si="209"/>
        <v>285000</v>
      </c>
      <c r="L2421" s="69">
        <f t="shared" si="209"/>
        <v>143636</v>
      </c>
      <c r="M2421" s="69">
        <f t="shared" si="209"/>
        <v>274227.40499999997</v>
      </c>
      <c r="N2421" s="69">
        <f t="shared" si="209"/>
        <v>285000</v>
      </c>
      <c r="O2421" s="28"/>
      <c r="P2421" s="214">
        <v>2156</v>
      </c>
      <c r="Q2421" s="215">
        <v>30</v>
      </c>
      <c r="R2421" s="216" t="s">
        <v>2613</v>
      </c>
      <c r="S2421" s="217"/>
      <c r="T2421" s="218">
        <v>285000</v>
      </c>
      <c r="U2421" s="218">
        <v>29599.99</v>
      </c>
      <c r="V2421" s="219">
        <v>173235.84</v>
      </c>
      <c r="W2421" s="219">
        <v>60.78</v>
      </c>
    </row>
    <row r="2422" spans="1:23" s="46" customFormat="1" ht="15" customHeight="1" thickTop="1">
      <c r="A2422" s="5"/>
      <c r="B2422" s="5"/>
      <c r="C2422" s="3">
        <v>30</v>
      </c>
      <c r="D2422" s="47"/>
      <c r="E2422" s="47"/>
      <c r="F2422" s="47"/>
      <c r="G2422" s="56"/>
      <c r="H2422" s="56"/>
      <c r="I2422" s="56"/>
      <c r="J2422" s="56"/>
      <c r="K2422" s="56"/>
      <c r="L2422" s="56"/>
      <c r="M2422" s="56"/>
      <c r="N2422" s="56"/>
      <c r="O2422" s="47"/>
      <c r="P2422" s="214">
        <v>2157</v>
      </c>
      <c r="Q2422" s="215">
        <v>30</v>
      </c>
      <c r="R2422" s="216" t="s">
        <v>2614</v>
      </c>
      <c r="S2422" s="217"/>
      <c r="T2422" s="218"/>
      <c r="U2422" s="218"/>
      <c r="V2422" s="219"/>
      <c r="W2422" s="219"/>
    </row>
    <row r="2423" spans="1:23" ht="15" customHeight="1">
      <c r="C2423" s="3">
        <v>30</v>
      </c>
      <c r="D2423" s="47" t="s">
        <v>1977</v>
      </c>
      <c r="G2423" s="26"/>
      <c r="H2423" s="26"/>
      <c r="I2423" s="26"/>
      <c r="J2423" s="26"/>
      <c r="K2423" s="26"/>
      <c r="L2423" s="26"/>
      <c r="M2423" s="26"/>
      <c r="N2423" s="26"/>
      <c r="P2423" s="222"/>
      <c r="Q2423" s="222"/>
      <c r="R2423" s="222"/>
      <c r="S2423" s="223"/>
      <c r="T2423" s="223"/>
      <c r="U2423" s="223"/>
      <c r="V2423" s="224"/>
      <c r="W2423" s="224"/>
    </row>
    <row r="2424" spans="1:23" ht="15" customHeight="1">
      <c r="C2424" s="3">
        <v>30</v>
      </c>
      <c r="G2424" s="26"/>
      <c r="H2424" s="26"/>
      <c r="I2424" s="26"/>
      <c r="J2424" s="26"/>
      <c r="K2424" s="26"/>
      <c r="L2424" s="26"/>
      <c r="M2424" s="26"/>
      <c r="N2424" s="26"/>
      <c r="P2424" s="214">
        <v>2158</v>
      </c>
      <c r="Q2424" s="215">
        <v>30</v>
      </c>
      <c r="R2424" s="216" t="s">
        <v>2615</v>
      </c>
      <c r="S2424" s="217"/>
      <c r="T2424" s="218"/>
      <c r="U2424" s="218"/>
      <c r="V2424" s="219"/>
      <c r="W2424" s="219"/>
    </row>
    <row r="2425" spans="1:23" ht="15" customHeight="1">
      <c r="B2425" s="2" t="s">
        <v>2318</v>
      </c>
      <c r="C2425" s="3">
        <v>30</v>
      </c>
      <c r="D2425" s="47" t="s">
        <v>1667</v>
      </c>
      <c r="G2425" s="26">
        <f>+G2503</f>
        <v>185163</v>
      </c>
      <c r="H2425" s="26">
        <f t="shared" ref="H2425:N2425" si="210">+H2503</f>
        <v>228986</v>
      </c>
      <c r="I2425" s="26">
        <f t="shared" si="210"/>
        <v>198016</v>
      </c>
      <c r="J2425" s="26">
        <f t="shared" si="210"/>
        <v>212374</v>
      </c>
      <c r="K2425" s="26">
        <f t="shared" si="210"/>
        <v>307500</v>
      </c>
      <c r="L2425" s="26">
        <f t="shared" si="210"/>
        <v>228379</v>
      </c>
      <c r="M2425" s="26">
        <f t="shared" si="210"/>
        <v>416835.62</v>
      </c>
      <c r="N2425" s="26">
        <f t="shared" si="210"/>
        <v>285000</v>
      </c>
      <c r="P2425" s="214">
        <v>2159</v>
      </c>
      <c r="Q2425" s="215">
        <v>30</v>
      </c>
      <c r="R2425" s="216" t="s">
        <v>1667</v>
      </c>
      <c r="S2425" s="217"/>
      <c r="T2425" s="218">
        <v>307500</v>
      </c>
      <c r="U2425" s="218">
        <v>16178.25</v>
      </c>
      <c r="V2425" s="219">
        <v>244556.48</v>
      </c>
      <c r="W2425" s="219">
        <v>79.53</v>
      </c>
    </row>
    <row r="2426" spans="1:23" ht="15" customHeight="1">
      <c r="C2426" s="3">
        <v>30</v>
      </c>
      <c r="D2426" s="47"/>
      <c r="G2426" s="26"/>
      <c r="H2426" s="26"/>
      <c r="I2426" s="26"/>
      <c r="J2426" s="26"/>
      <c r="K2426" s="26"/>
      <c r="L2426" s="26"/>
      <c r="M2426" s="26"/>
      <c r="N2426" s="26"/>
      <c r="P2426" s="222"/>
      <c r="Q2426" s="222"/>
      <c r="R2426" s="222"/>
      <c r="S2426" s="223"/>
      <c r="T2426" s="223"/>
      <c r="U2426" s="223"/>
      <c r="V2426" s="224"/>
      <c r="W2426" s="224"/>
    </row>
    <row r="2427" spans="1:23" s="37" customFormat="1" ht="15" customHeight="1">
      <c r="A2427" s="2"/>
      <c r="B2427" s="2" t="s">
        <v>2318</v>
      </c>
      <c r="C2427" s="3">
        <v>30</v>
      </c>
      <c r="D2427" s="54" t="str">
        <f>+D2505</f>
        <v>*** TOTAL FUND 30 EXPENSES ***</v>
      </c>
      <c r="E2427" s="54"/>
      <c r="F2427" s="54">
        <f t="shared" ref="F2427:N2427" si="211">+F2505</f>
        <v>0</v>
      </c>
      <c r="G2427" s="339">
        <f t="shared" si="211"/>
        <v>185163</v>
      </c>
      <c r="H2427" s="339">
        <f t="shared" si="211"/>
        <v>228986</v>
      </c>
      <c r="I2427" s="339">
        <f t="shared" si="211"/>
        <v>198016</v>
      </c>
      <c r="J2427" s="339">
        <f t="shared" si="211"/>
        <v>212374</v>
      </c>
      <c r="K2427" s="339">
        <f t="shared" si="211"/>
        <v>307500</v>
      </c>
      <c r="L2427" s="339">
        <f t="shared" si="211"/>
        <v>228379</v>
      </c>
      <c r="M2427" s="339">
        <f t="shared" si="211"/>
        <v>416835.62</v>
      </c>
      <c r="N2427" s="339">
        <f t="shared" si="211"/>
        <v>285000</v>
      </c>
      <c r="O2427" s="38"/>
      <c r="P2427" s="214">
        <v>2160</v>
      </c>
      <c r="Q2427" s="215">
        <v>30</v>
      </c>
      <c r="R2427" s="216" t="s">
        <v>2618</v>
      </c>
      <c r="S2427" s="217"/>
      <c r="T2427" s="218">
        <v>307500</v>
      </c>
      <c r="U2427" s="218">
        <v>16178.25</v>
      </c>
      <c r="V2427" s="219">
        <v>244556.48</v>
      </c>
      <c r="W2427" s="219">
        <v>79.53</v>
      </c>
    </row>
    <row r="2428" spans="1:23" s="46" customFormat="1" ht="15" customHeight="1">
      <c r="A2428" s="5"/>
      <c r="B2428" s="5"/>
      <c r="C2428" s="3">
        <v>30</v>
      </c>
      <c r="D2428" s="47"/>
      <c r="E2428" s="47"/>
      <c r="F2428" s="47"/>
      <c r="G2428" s="56"/>
      <c r="H2428" s="56"/>
      <c r="I2428" s="56"/>
      <c r="J2428" s="56"/>
      <c r="K2428" s="56"/>
      <c r="L2428" s="56"/>
      <c r="M2428" s="56"/>
      <c r="N2428" s="56"/>
      <c r="O2428" s="47"/>
      <c r="P2428" s="221"/>
      <c r="Q2428" s="221"/>
      <c r="R2428" s="221"/>
      <c r="S2428" s="221"/>
      <c r="T2428" s="221"/>
      <c r="U2428" s="221"/>
      <c r="V2428" s="221"/>
      <c r="W2428" s="221"/>
    </row>
    <row r="2429" spans="1:23" s="33" customFormat="1" ht="15" customHeight="1" thickBot="1">
      <c r="A2429" s="2"/>
      <c r="B2429" s="2" t="s">
        <v>2318</v>
      </c>
      <c r="C2429" s="3">
        <v>30</v>
      </c>
      <c r="D2429" s="335" t="str">
        <f>+D2507</f>
        <v>*** FUND 30 REVENUES OVER(UNDER) EXPENSES ***</v>
      </c>
      <c r="E2429" s="336"/>
      <c r="F2429" s="336">
        <f>+F2507</f>
        <v>0</v>
      </c>
      <c r="G2429" s="336">
        <f>+G2507</f>
        <v>69602</v>
      </c>
      <c r="H2429" s="336">
        <f t="shared" ref="H2429:N2429" si="212">+H2507</f>
        <v>-62813</v>
      </c>
      <c r="I2429" s="336">
        <f t="shared" si="212"/>
        <v>213754</v>
      </c>
      <c r="J2429" s="336">
        <f t="shared" si="212"/>
        <v>11486</v>
      </c>
      <c r="K2429" s="336">
        <f t="shared" si="212"/>
        <v>-22500</v>
      </c>
      <c r="L2429" s="336">
        <f t="shared" si="212"/>
        <v>-84743</v>
      </c>
      <c r="M2429" s="336">
        <f t="shared" si="212"/>
        <v>-142608.21500000003</v>
      </c>
      <c r="N2429" s="336">
        <f t="shared" si="212"/>
        <v>0</v>
      </c>
      <c r="O2429" s="34"/>
      <c r="P2429" s="214">
        <v>2161</v>
      </c>
      <c r="Q2429" s="215">
        <v>30</v>
      </c>
      <c r="R2429" s="216" t="s">
        <v>2619</v>
      </c>
      <c r="S2429" s="217"/>
      <c r="T2429" s="218">
        <v>-22500</v>
      </c>
      <c r="U2429" s="218">
        <v>13421.74</v>
      </c>
      <c r="V2429" s="219">
        <v>-71320.639999999999</v>
      </c>
      <c r="W2429" s="219">
        <v>316.98</v>
      </c>
    </row>
    <row r="2430" spans="1:23" s="46" customFormat="1" ht="15" customHeight="1" thickTop="1">
      <c r="A2430" s="5"/>
      <c r="B2430" s="5"/>
      <c r="C2430" s="3">
        <v>30</v>
      </c>
      <c r="D2430" s="58"/>
      <c r="E2430" s="56"/>
      <c r="F2430" s="56"/>
      <c r="G2430" s="56"/>
      <c r="H2430" s="56"/>
      <c r="I2430" s="56"/>
      <c r="J2430" s="56"/>
      <c r="K2430" s="56"/>
      <c r="L2430" s="56"/>
      <c r="M2430" s="56"/>
      <c r="N2430" s="56"/>
      <c r="O2430" s="47"/>
      <c r="P2430" s="221"/>
      <c r="Q2430" s="221"/>
      <c r="R2430" s="221"/>
      <c r="S2430" s="221"/>
      <c r="T2430" s="221"/>
      <c r="U2430" s="221"/>
      <c r="V2430" s="221"/>
      <c r="W2430" s="221"/>
    </row>
    <row r="2431" spans="1:23" ht="15" customHeight="1">
      <c r="C2431" s="3">
        <v>30</v>
      </c>
      <c r="D2431" s="54" t="s">
        <v>2875</v>
      </c>
      <c r="E2431" s="54"/>
      <c r="F2431" s="192"/>
      <c r="G2431" s="55"/>
      <c r="H2431" s="55"/>
      <c r="I2431" s="55"/>
      <c r="J2431" s="55">
        <f>K2415</f>
        <v>228629.77</v>
      </c>
      <c r="K2431" s="55">
        <f>+K2415+K2421-K2427</f>
        <v>206129.77000000002</v>
      </c>
      <c r="L2431" s="55"/>
      <c r="M2431" s="55">
        <f>+M2415+M2421-M2427</f>
        <v>86021.554999999935</v>
      </c>
      <c r="N2431" s="55">
        <f>+N2415+N2421-N2427</f>
        <v>86021.554999999935</v>
      </c>
      <c r="O2431" s="253">
        <f>+O2408</f>
        <v>0</v>
      </c>
      <c r="P2431" s="203"/>
      <c r="Q2431" s="204"/>
      <c r="R2431" s="205"/>
      <c r="S2431" s="206"/>
      <c r="T2431" s="207"/>
      <c r="U2431" s="207"/>
      <c r="V2431" s="208"/>
      <c r="W2431" s="212"/>
    </row>
    <row r="2432" spans="1:23" s="46" customFormat="1" ht="15" customHeight="1">
      <c r="A2432" s="195"/>
      <c r="B2432" s="195"/>
      <c r="C2432" s="3">
        <v>30</v>
      </c>
      <c r="D2432" s="58"/>
      <c r="E2432" s="56"/>
      <c r="F2432" s="56"/>
      <c r="G2432" s="56"/>
      <c r="H2432" s="56"/>
      <c r="I2432" s="56"/>
      <c r="J2432" s="56"/>
      <c r="K2432" s="56"/>
      <c r="L2432" s="56"/>
      <c r="M2432" s="26"/>
      <c r="N2432" s="26"/>
      <c r="O2432" s="47"/>
      <c r="P2432" s="221"/>
      <c r="Q2432" s="221"/>
      <c r="R2432" s="221"/>
      <c r="S2432" s="221"/>
      <c r="T2432" s="221"/>
      <c r="U2432" s="221"/>
      <c r="V2432" s="221"/>
      <c r="W2432" s="221"/>
    </row>
    <row r="2433" spans="1:23" ht="15" customHeight="1">
      <c r="C2433" s="3">
        <v>30</v>
      </c>
      <c r="D2433" s="15">
        <v>4110</v>
      </c>
      <c r="E2433" s="312" t="s">
        <v>1680</v>
      </c>
      <c r="G2433" s="26">
        <v>254765</v>
      </c>
      <c r="H2433" s="26">
        <v>166173</v>
      </c>
      <c r="I2433" s="26">
        <v>256141</v>
      </c>
      <c r="J2433" s="26">
        <v>221528</v>
      </c>
      <c r="K2433" s="26">
        <v>285000</v>
      </c>
      <c r="L2433" s="26">
        <v>142489</v>
      </c>
      <c r="M2433" s="26">
        <f>172843*1.333+(42000)</f>
        <v>272399.71899999998</v>
      </c>
      <c r="N2433" s="26">
        <f>243000+42000</f>
        <v>285000</v>
      </c>
      <c r="P2433" s="214">
        <v>2162</v>
      </c>
      <c r="Q2433" s="215">
        <v>30</v>
      </c>
      <c r="R2433" s="216">
        <v>4110</v>
      </c>
      <c r="S2433" s="217" t="s">
        <v>1680</v>
      </c>
      <c r="T2433" s="218">
        <v>285000</v>
      </c>
      <c r="U2433" s="218">
        <v>29438.03</v>
      </c>
      <c r="V2433" s="219">
        <v>171926.9</v>
      </c>
      <c r="W2433" s="219">
        <v>60.33</v>
      </c>
    </row>
    <row r="2434" spans="1:23" ht="15" customHeight="1">
      <c r="C2434" s="3">
        <v>30</v>
      </c>
      <c r="D2434" s="15">
        <v>4330</v>
      </c>
      <c r="E2434" s="312" t="s">
        <v>1669</v>
      </c>
      <c r="G2434" s="26">
        <v>0</v>
      </c>
      <c r="H2434" s="26">
        <v>0</v>
      </c>
      <c r="I2434" s="26">
        <v>3978</v>
      </c>
      <c r="J2434" s="26">
        <v>2332</v>
      </c>
      <c r="K2434" s="26">
        <v>0</v>
      </c>
      <c r="L2434" s="26">
        <v>1147</v>
      </c>
      <c r="M2434" s="26">
        <f>1374.2*1.33</f>
        <v>1827.6860000000001</v>
      </c>
      <c r="N2434" s="26">
        <v>0</v>
      </c>
      <c r="P2434" s="214">
        <v>2163</v>
      </c>
      <c r="Q2434" s="215">
        <v>30</v>
      </c>
      <c r="R2434" s="216">
        <v>4330</v>
      </c>
      <c r="S2434" s="217" t="s">
        <v>1669</v>
      </c>
      <c r="T2434" s="218">
        <v>0</v>
      </c>
      <c r="U2434" s="218">
        <v>161.96</v>
      </c>
      <c r="V2434" s="219">
        <v>1308.94</v>
      </c>
      <c r="W2434" s="219">
        <v>0</v>
      </c>
    </row>
    <row r="2435" spans="1:23" ht="15" customHeight="1">
      <c r="C2435" s="3">
        <v>30</v>
      </c>
      <c r="D2435" s="15">
        <v>4695</v>
      </c>
      <c r="E2435" s="312" t="s">
        <v>1681</v>
      </c>
      <c r="G2435" s="26">
        <v>0</v>
      </c>
      <c r="H2435" s="26">
        <v>0</v>
      </c>
      <c r="I2435" s="26">
        <v>151651</v>
      </c>
      <c r="J2435" s="26">
        <v>0</v>
      </c>
      <c r="K2435" s="26">
        <v>0</v>
      </c>
      <c r="L2435" s="26">
        <v>0</v>
      </c>
      <c r="M2435" s="26">
        <v>0</v>
      </c>
      <c r="N2435" s="26">
        <v>0</v>
      </c>
      <c r="P2435" s="214">
        <v>2164</v>
      </c>
      <c r="Q2435" s="215">
        <v>30</v>
      </c>
      <c r="R2435" s="216">
        <v>4695</v>
      </c>
      <c r="S2435" s="217" t="s">
        <v>1681</v>
      </c>
      <c r="T2435" s="218">
        <v>0</v>
      </c>
      <c r="U2435" s="218">
        <v>0</v>
      </c>
      <c r="V2435" s="219">
        <v>0</v>
      </c>
      <c r="W2435" s="219">
        <v>0</v>
      </c>
    </row>
    <row r="2436" spans="1:23" ht="15" customHeight="1">
      <c r="C2436" s="3">
        <v>30</v>
      </c>
      <c r="E2436" s="14"/>
      <c r="G2436" s="26"/>
      <c r="H2436" s="26"/>
      <c r="I2436" s="26"/>
      <c r="J2436" s="26"/>
      <c r="K2436" s="26"/>
      <c r="L2436" s="26"/>
      <c r="M2436" s="26"/>
      <c r="N2436" s="26"/>
      <c r="P2436" s="222"/>
      <c r="Q2436" s="222"/>
      <c r="R2436" s="222"/>
      <c r="S2436" s="223"/>
      <c r="T2436" s="223"/>
      <c r="U2436" s="223"/>
      <c r="V2436" s="224"/>
      <c r="W2436" s="224"/>
    </row>
    <row r="2437" spans="1:23" s="27" customFormat="1" ht="15" customHeight="1" thickBot="1">
      <c r="A2437" s="2"/>
      <c r="B2437" s="2" t="s">
        <v>2317</v>
      </c>
      <c r="C2437" s="3">
        <v>30</v>
      </c>
      <c r="D2437" s="68" t="s">
        <v>2295</v>
      </c>
      <c r="E2437" s="68"/>
      <c r="F2437" s="320"/>
      <c r="G2437" s="69">
        <f>SUM(G2432:G2435)</f>
        <v>254765</v>
      </c>
      <c r="H2437" s="69">
        <f t="shared" ref="H2437:N2437" si="213">SUM(H2432:H2435)</f>
        <v>166173</v>
      </c>
      <c r="I2437" s="69">
        <f t="shared" si="213"/>
        <v>411770</v>
      </c>
      <c r="J2437" s="69">
        <f t="shared" si="213"/>
        <v>223860</v>
      </c>
      <c r="K2437" s="69">
        <f t="shared" si="213"/>
        <v>285000</v>
      </c>
      <c r="L2437" s="69">
        <f t="shared" si="213"/>
        <v>143636</v>
      </c>
      <c r="M2437" s="69">
        <f t="shared" si="213"/>
        <v>274227.40499999997</v>
      </c>
      <c r="N2437" s="69">
        <f t="shared" si="213"/>
        <v>285000</v>
      </c>
      <c r="O2437" s="28"/>
      <c r="P2437" s="214">
        <v>2165</v>
      </c>
      <c r="Q2437" s="215">
        <v>30</v>
      </c>
      <c r="R2437" s="216" t="s">
        <v>2620</v>
      </c>
      <c r="S2437" s="217"/>
      <c r="T2437" s="218">
        <v>285000</v>
      </c>
      <c r="U2437" s="218">
        <v>29599.99</v>
      </c>
      <c r="V2437" s="219">
        <v>173235.84</v>
      </c>
      <c r="W2437" s="219">
        <v>60.78</v>
      </c>
    </row>
    <row r="2438" spans="1:23" s="46" customFormat="1" ht="15" customHeight="1" thickTop="1">
      <c r="A2438" s="5"/>
      <c r="B2438" s="5"/>
      <c r="C2438" s="3">
        <v>30</v>
      </c>
      <c r="D2438" s="47"/>
      <c r="E2438" s="47"/>
      <c r="F2438" s="191"/>
      <c r="G2438" s="56"/>
      <c r="H2438" s="56"/>
      <c r="I2438" s="56"/>
      <c r="J2438" s="56"/>
      <c r="K2438" s="56"/>
      <c r="L2438" s="56"/>
      <c r="M2438" s="56"/>
      <c r="N2438" s="56"/>
      <c r="O2438" s="47"/>
      <c r="P2438" s="221"/>
      <c r="Q2438" s="221"/>
      <c r="R2438" s="221"/>
      <c r="S2438" s="221"/>
      <c r="T2438" s="221"/>
      <c r="U2438" s="221"/>
      <c r="V2438" s="221"/>
      <c r="W2438" s="221"/>
    </row>
    <row r="2439" spans="1:23" ht="15" customHeight="1">
      <c r="C2439" s="3">
        <v>30</v>
      </c>
      <c r="D2439" s="47" t="s">
        <v>1973</v>
      </c>
      <c r="G2439" s="26"/>
      <c r="H2439" s="26"/>
      <c r="I2439" s="26"/>
      <c r="J2439" s="26"/>
      <c r="K2439" s="26"/>
      <c r="L2439" s="26"/>
      <c r="M2439" s="26"/>
      <c r="N2439" s="26"/>
      <c r="P2439" s="214">
        <v>2166</v>
      </c>
      <c r="Q2439" s="215">
        <v>30</v>
      </c>
      <c r="R2439" s="216" t="s">
        <v>135</v>
      </c>
      <c r="S2439" s="217"/>
      <c r="T2439" s="218"/>
      <c r="U2439" s="218"/>
      <c r="V2439" s="219"/>
      <c r="W2439" s="219"/>
    </row>
    <row r="2440" spans="1:23" ht="15" customHeight="1">
      <c r="C2440" s="3">
        <v>30</v>
      </c>
      <c r="G2440" s="26"/>
      <c r="H2440" s="26"/>
      <c r="I2440" s="26"/>
      <c r="J2440" s="26"/>
      <c r="K2440" s="26"/>
      <c r="L2440" s="26"/>
      <c r="M2440" s="26"/>
      <c r="N2440" s="26"/>
      <c r="P2440" s="214">
        <v>2167</v>
      </c>
      <c r="Q2440" s="215">
        <v>30</v>
      </c>
      <c r="R2440" s="216" t="s">
        <v>2626</v>
      </c>
      <c r="S2440" s="217"/>
      <c r="T2440" s="218"/>
      <c r="U2440" s="218"/>
      <c r="V2440" s="219"/>
      <c r="W2440" s="219"/>
    </row>
    <row r="2441" spans="1:23" ht="15" customHeight="1">
      <c r="C2441" s="3">
        <v>30</v>
      </c>
      <c r="D2441" s="15" t="s">
        <v>1682</v>
      </c>
      <c r="E2441" s="312" t="s">
        <v>1683</v>
      </c>
      <c r="G2441" s="26">
        <v>0</v>
      </c>
      <c r="H2441" s="26">
        <v>0</v>
      </c>
      <c r="I2441" s="26">
        <v>19898</v>
      </c>
      <c r="J2441" s="26">
        <v>0</v>
      </c>
      <c r="K2441" s="26">
        <v>0</v>
      </c>
      <c r="L2441" s="26">
        <v>0</v>
      </c>
      <c r="M2441" s="26">
        <v>0</v>
      </c>
      <c r="N2441" s="26">
        <v>0</v>
      </c>
      <c r="P2441" s="214">
        <v>2168</v>
      </c>
      <c r="Q2441" s="215">
        <v>30</v>
      </c>
      <c r="R2441" s="216" t="s">
        <v>1682</v>
      </c>
      <c r="S2441" s="217" t="s">
        <v>1683</v>
      </c>
      <c r="T2441" s="218">
        <v>0</v>
      </c>
      <c r="U2441" s="218">
        <v>0</v>
      </c>
      <c r="V2441" s="219">
        <v>0</v>
      </c>
      <c r="W2441" s="219">
        <v>0</v>
      </c>
    </row>
    <row r="2442" spans="1:23" ht="15" customHeight="1">
      <c r="C2442" s="3">
        <v>30</v>
      </c>
      <c r="D2442" s="15" t="s">
        <v>1684</v>
      </c>
      <c r="E2442" s="312" t="s">
        <v>1685</v>
      </c>
      <c r="G2442" s="26">
        <v>164305</v>
      </c>
      <c r="H2442" s="26">
        <v>191196</v>
      </c>
      <c r="I2442" s="26">
        <v>72000</v>
      </c>
      <c r="J2442" s="26">
        <v>72000</v>
      </c>
      <c r="K2442" s="26">
        <v>72000</v>
      </c>
      <c r="L2442" s="26">
        <v>42000</v>
      </c>
      <c r="M2442" s="26">
        <v>72000</v>
      </c>
      <c r="N2442" s="26">
        <v>72000</v>
      </c>
      <c r="P2442" s="214">
        <v>2169</v>
      </c>
      <c r="Q2442" s="215">
        <v>30</v>
      </c>
      <c r="R2442" s="216" t="s">
        <v>1684</v>
      </c>
      <c r="S2442" s="217" t="s">
        <v>1685</v>
      </c>
      <c r="T2442" s="218">
        <v>72000</v>
      </c>
      <c r="U2442" s="218">
        <v>6000</v>
      </c>
      <c r="V2442" s="219">
        <v>48000</v>
      </c>
      <c r="W2442" s="219">
        <v>66.67</v>
      </c>
    </row>
    <row r="2443" spans="1:23" ht="15" customHeight="1">
      <c r="C2443" s="3">
        <v>30</v>
      </c>
      <c r="D2443" s="15" t="s">
        <v>1686</v>
      </c>
      <c r="E2443" s="312" t="s">
        <v>1687</v>
      </c>
      <c r="G2443" s="26">
        <v>20858</v>
      </c>
      <c r="H2443" s="26">
        <v>37790</v>
      </c>
      <c r="I2443" s="26">
        <v>41117</v>
      </c>
      <c r="J2443" s="26">
        <v>42555</v>
      </c>
      <c r="K2443" s="26">
        <v>42000</v>
      </c>
      <c r="L2443" s="26">
        <v>24237</v>
      </c>
      <c r="M2443" s="26">
        <v>42000</v>
      </c>
      <c r="N2443" s="26">
        <v>42000</v>
      </c>
      <c r="P2443" s="214">
        <v>2170</v>
      </c>
      <c r="Q2443" s="215">
        <v>30</v>
      </c>
      <c r="R2443" s="216" t="s">
        <v>1686</v>
      </c>
      <c r="S2443" s="217" t="s">
        <v>1687</v>
      </c>
      <c r="T2443" s="218">
        <v>42000</v>
      </c>
      <c r="U2443" s="218">
        <v>3462.42</v>
      </c>
      <c r="V2443" s="219">
        <v>27699.360000000001</v>
      </c>
      <c r="W2443" s="219">
        <v>65.95</v>
      </c>
    </row>
    <row r="2444" spans="1:23" ht="15" customHeight="1">
      <c r="C2444" s="3">
        <v>30</v>
      </c>
      <c r="D2444" s="15" t="s">
        <v>1688</v>
      </c>
      <c r="E2444" s="312" t="s">
        <v>1689</v>
      </c>
      <c r="G2444" s="26">
        <v>0</v>
      </c>
      <c r="H2444" s="26">
        <v>0</v>
      </c>
      <c r="I2444" s="26">
        <v>2290</v>
      </c>
      <c r="J2444" s="26">
        <v>2300</v>
      </c>
      <c r="K2444" s="26">
        <v>2300</v>
      </c>
      <c r="L2444" s="26">
        <v>1336</v>
      </c>
      <c r="M2444" s="26">
        <v>2300</v>
      </c>
      <c r="N2444" s="26">
        <v>2300</v>
      </c>
      <c r="P2444" s="214">
        <v>2171</v>
      </c>
      <c r="Q2444" s="215">
        <v>30</v>
      </c>
      <c r="R2444" s="216" t="s">
        <v>1688</v>
      </c>
      <c r="S2444" s="217" t="s">
        <v>1689</v>
      </c>
      <c r="T2444" s="218">
        <v>2300</v>
      </c>
      <c r="U2444" s="218">
        <v>190.83</v>
      </c>
      <c r="V2444" s="219">
        <v>1526.64</v>
      </c>
      <c r="W2444" s="219">
        <v>66.38</v>
      </c>
    </row>
    <row r="2445" spans="1:23" ht="15" customHeight="1">
      <c r="C2445" s="3">
        <v>30</v>
      </c>
      <c r="D2445" s="15" t="s">
        <v>1690</v>
      </c>
      <c r="E2445" s="312" t="s">
        <v>1691</v>
      </c>
      <c r="G2445" s="26">
        <v>0</v>
      </c>
      <c r="H2445" s="26">
        <v>0</v>
      </c>
      <c r="I2445" s="26">
        <v>0</v>
      </c>
      <c r="J2445" s="26">
        <v>3000</v>
      </c>
      <c r="K2445" s="26">
        <v>3000</v>
      </c>
      <c r="L2445" s="26">
        <v>3000</v>
      </c>
      <c r="M2445" s="26">
        <v>3000</v>
      </c>
      <c r="N2445" s="26">
        <v>3000</v>
      </c>
      <c r="P2445" s="214">
        <v>2172</v>
      </c>
      <c r="Q2445" s="215">
        <v>30</v>
      </c>
      <c r="R2445" s="216" t="s">
        <v>1690</v>
      </c>
      <c r="S2445" s="217" t="s">
        <v>1691</v>
      </c>
      <c r="T2445" s="218">
        <v>3000</v>
      </c>
      <c r="U2445" s="218">
        <v>0</v>
      </c>
      <c r="V2445" s="219">
        <v>3000</v>
      </c>
      <c r="W2445" s="219">
        <v>100</v>
      </c>
    </row>
    <row r="2446" spans="1:23" ht="15" customHeight="1">
      <c r="C2446" s="3">
        <v>30</v>
      </c>
      <c r="D2446" s="15" t="s">
        <v>1692</v>
      </c>
      <c r="E2446" s="312" t="s">
        <v>1693</v>
      </c>
      <c r="G2446" s="26">
        <v>0</v>
      </c>
      <c r="H2446" s="26">
        <v>0</v>
      </c>
      <c r="I2446" s="26">
        <v>0</v>
      </c>
      <c r="J2446" s="26">
        <v>0</v>
      </c>
      <c r="K2446" s="26">
        <v>0</v>
      </c>
      <c r="L2446" s="26">
        <v>0</v>
      </c>
      <c r="M2446" s="26">
        <v>0</v>
      </c>
      <c r="N2446" s="26">
        <v>0</v>
      </c>
      <c r="P2446" s="214">
        <v>2173</v>
      </c>
      <c r="Q2446" s="215">
        <v>30</v>
      </c>
      <c r="R2446" s="216" t="s">
        <v>1692</v>
      </c>
      <c r="S2446" s="217" t="s">
        <v>1693</v>
      </c>
      <c r="T2446" s="218">
        <v>0</v>
      </c>
      <c r="U2446" s="218">
        <v>0</v>
      </c>
      <c r="V2446" s="219">
        <v>0</v>
      </c>
      <c r="W2446" s="219">
        <v>0</v>
      </c>
    </row>
    <row r="2447" spans="1:23" ht="15" customHeight="1">
      <c r="C2447" s="3">
        <v>30</v>
      </c>
      <c r="D2447" s="15" t="s">
        <v>1694</v>
      </c>
      <c r="E2447" s="312" t="s">
        <v>1695</v>
      </c>
      <c r="G2447" s="26">
        <v>0</v>
      </c>
      <c r="H2447" s="26">
        <v>0</v>
      </c>
      <c r="I2447" s="26">
        <v>0</v>
      </c>
      <c r="J2447" s="26">
        <v>3000</v>
      </c>
      <c r="K2447" s="26">
        <v>3000</v>
      </c>
      <c r="L2447" s="26">
        <v>3000</v>
      </c>
      <c r="M2447" s="26">
        <v>3000</v>
      </c>
      <c r="N2447" s="26">
        <v>3000</v>
      </c>
      <c r="P2447" s="214">
        <v>2174</v>
      </c>
      <c r="Q2447" s="215">
        <v>30</v>
      </c>
      <c r="R2447" s="216" t="s">
        <v>1694</v>
      </c>
      <c r="S2447" s="217" t="s">
        <v>1695</v>
      </c>
      <c r="T2447" s="218">
        <v>3000</v>
      </c>
      <c r="U2447" s="218">
        <v>0</v>
      </c>
      <c r="V2447" s="219">
        <v>3000</v>
      </c>
      <c r="W2447" s="219">
        <v>100</v>
      </c>
    </row>
    <row r="2448" spans="1:23" ht="15" customHeight="1">
      <c r="C2448" s="3">
        <v>30</v>
      </c>
      <c r="D2448" s="15" t="s">
        <v>1696</v>
      </c>
      <c r="E2448" s="312" t="s">
        <v>1697</v>
      </c>
      <c r="G2448" s="26">
        <v>0</v>
      </c>
      <c r="H2448" s="26">
        <v>0</v>
      </c>
      <c r="I2448" s="26">
        <v>0</v>
      </c>
      <c r="J2448" s="26">
        <v>1000</v>
      </c>
      <c r="K2448" s="26">
        <v>1000</v>
      </c>
      <c r="L2448" s="26">
        <v>585</v>
      </c>
      <c r="M2448" s="26">
        <v>780</v>
      </c>
      <c r="N2448" s="26">
        <v>1000</v>
      </c>
      <c r="P2448" s="214">
        <v>2175</v>
      </c>
      <c r="Q2448" s="215">
        <v>30</v>
      </c>
      <c r="R2448" s="216" t="s">
        <v>1696</v>
      </c>
      <c r="S2448" s="217" t="s">
        <v>1697</v>
      </c>
      <c r="T2448" s="218">
        <v>1000</v>
      </c>
      <c r="U2448" s="218">
        <v>0</v>
      </c>
      <c r="V2448" s="219">
        <v>585</v>
      </c>
      <c r="W2448" s="219">
        <v>58.5</v>
      </c>
    </row>
    <row r="2449" spans="3:23" ht="15" customHeight="1">
      <c r="C2449" s="3">
        <v>30</v>
      </c>
      <c r="D2449" s="15" t="s">
        <v>1698</v>
      </c>
      <c r="E2449" s="312" t="s">
        <v>1699</v>
      </c>
      <c r="G2449" s="26">
        <v>0</v>
      </c>
      <c r="H2449" s="26">
        <v>0</v>
      </c>
      <c r="I2449" s="26">
        <v>3550</v>
      </c>
      <c r="J2449" s="26">
        <v>3550</v>
      </c>
      <c r="K2449" s="26">
        <v>3550</v>
      </c>
      <c r="L2449" s="26">
        <v>0</v>
      </c>
      <c r="M2449" s="26">
        <v>3550</v>
      </c>
      <c r="N2449" s="26">
        <v>3550</v>
      </c>
      <c r="P2449" s="214">
        <v>2176</v>
      </c>
      <c r="Q2449" s="215">
        <v>30</v>
      </c>
      <c r="R2449" s="216" t="s">
        <v>1698</v>
      </c>
      <c r="S2449" s="217" t="s">
        <v>1699</v>
      </c>
      <c r="T2449" s="218">
        <v>3550</v>
      </c>
      <c r="U2449" s="218">
        <v>0</v>
      </c>
      <c r="V2449" s="219">
        <v>0</v>
      </c>
      <c r="W2449" s="219">
        <v>0</v>
      </c>
    </row>
    <row r="2450" spans="3:23" ht="15" customHeight="1">
      <c r="C2450" s="3">
        <v>30</v>
      </c>
      <c r="D2450" s="15" t="s">
        <v>1700</v>
      </c>
      <c r="E2450" s="312" t="s">
        <v>1701</v>
      </c>
      <c r="G2450" s="26">
        <v>0</v>
      </c>
      <c r="H2450" s="26">
        <v>0</v>
      </c>
      <c r="I2450" s="26">
        <v>3950</v>
      </c>
      <c r="J2450" s="26">
        <v>3950</v>
      </c>
      <c r="K2450" s="26">
        <v>3950</v>
      </c>
      <c r="L2450" s="26">
        <v>0</v>
      </c>
      <c r="M2450" s="26">
        <v>3950</v>
      </c>
      <c r="N2450" s="26">
        <v>3950</v>
      </c>
      <c r="P2450" s="214">
        <v>2177</v>
      </c>
      <c r="Q2450" s="215">
        <v>30</v>
      </c>
      <c r="R2450" s="216" t="s">
        <v>1700</v>
      </c>
      <c r="S2450" s="217" t="s">
        <v>1701</v>
      </c>
      <c r="T2450" s="218">
        <v>3950</v>
      </c>
      <c r="U2450" s="218">
        <v>3950</v>
      </c>
      <c r="V2450" s="219">
        <v>3950</v>
      </c>
      <c r="W2450" s="219">
        <v>100</v>
      </c>
    </row>
    <row r="2451" spans="3:23" ht="15" customHeight="1">
      <c r="C2451" s="3">
        <v>30</v>
      </c>
      <c r="D2451" s="15" t="s">
        <v>1702</v>
      </c>
      <c r="E2451" s="312" t="s">
        <v>1703</v>
      </c>
      <c r="G2451" s="26">
        <v>0</v>
      </c>
      <c r="H2451" s="26">
        <v>0</v>
      </c>
      <c r="I2451" s="26">
        <v>2050</v>
      </c>
      <c r="J2451" s="26">
        <v>2050</v>
      </c>
      <c r="K2451" s="26">
        <v>2050</v>
      </c>
      <c r="L2451" s="26">
        <v>2050</v>
      </c>
      <c r="M2451" s="26">
        <v>2050</v>
      </c>
      <c r="N2451" s="26">
        <v>2050</v>
      </c>
      <c r="P2451" s="214">
        <v>2178</v>
      </c>
      <c r="Q2451" s="215">
        <v>30</v>
      </c>
      <c r="R2451" s="216" t="s">
        <v>1702</v>
      </c>
      <c r="S2451" s="217" t="s">
        <v>1703</v>
      </c>
      <c r="T2451" s="218">
        <v>2050</v>
      </c>
      <c r="U2451" s="218">
        <v>0</v>
      </c>
      <c r="V2451" s="219">
        <v>2050</v>
      </c>
      <c r="W2451" s="219">
        <v>100</v>
      </c>
    </row>
    <row r="2452" spans="3:23" ht="15" customHeight="1">
      <c r="C2452" s="3">
        <v>30</v>
      </c>
      <c r="D2452" s="15" t="s">
        <v>1704</v>
      </c>
      <c r="E2452" s="312" t="s">
        <v>1705</v>
      </c>
      <c r="G2452" s="26">
        <v>0</v>
      </c>
      <c r="H2452" s="26">
        <v>0</v>
      </c>
      <c r="I2452" s="26">
        <v>1000</v>
      </c>
      <c r="J2452" s="26">
        <v>0</v>
      </c>
      <c r="K2452" s="26">
        <v>0</v>
      </c>
      <c r="L2452" s="26">
        <v>0</v>
      </c>
      <c r="M2452" s="26">
        <v>0</v>
      </c>
      <c r="N2452" s="26">
        <v>0</v>
      </c>
      <c r="P2452" s="214">
        <v>2179</v>
      </c>
      <c r="Q2452" s="215">
        <v>30</v>
      </c>
      <c r="R2452" s="216" t="s">
        <v>1704</v>
      </c>
      <c r="S2452" s="217" t="s">
        <v>1705</v>
      </c>
      <c r="T2452" s="218">
        <v>0</v>
      </c>
      <c r="U2452" s="218">
        <v>0</v>
      </c>
      <c r="V2452" s="219">
        <v>0</v>
      </c>
      <c r="W2452" s="219">
        <v>0</v>
      </c>
    </row>
    <row r="2453" spans="3:23" ht="15" customHeight="1">
      <c r="C2453" s="3">
        <v>30</v>
      </c>
      <c r="D2453" s="15" t="s">
        <v>1706</v>
      </c>
      <c r="E2453" s="312" t="s">
        <v>1707</v>
      </c>
      <c r="G2453" s="26">
        <v>0</v>
      </c>
      <c r="H2453" s="26">
        <v>0</v>
      </c>
      <c r="I2453" s="26">
        <v>2500</v>
      </c>
      <c r="J2453" s="26">
        <v>1000</v>
      </c>
      <c r="K2453" s="26">
        <v>3500</v>
      </c>
      <c r="L2453" s="26">
        <v>3500</v>
      </c>
      <c r="M2453" s="26">
        <v>3500</v>
      </c>
      <c r="N2453" s="26">
        <v>3500</v>
      </c>
      <c r="P2453" s="214">
        <v>2180</v>
      </c>
      <c r="Q2453" s="215">
        <v>30</v>
      </c>
      <c r="R2453" s="216" t="s">
        <v>1706</v>
      </c>
      <c r="S2453" s="217" t="s">
        <v>1707</v>
      </c>
      <c r="T2453" s="218">
        <v>3500</v>
      </c>
      <c r="U2453" s="218">
        <v>0</v>
      </c>
      <c r="V2453" s="219">
        <v>3500</v>
      </c>
      <c r="W2453" s="219">
        <v>100</v>
      </c>
    </row>
    <row r="2454" spans="3:23" ht="15" customHeight="1">
      <c r="C2454" s="3">
        <v>30</v>
      </c>
      <c r="D2454" s="15" t="s">
        <v>1708</v>
      </c>
      <c r="E2454" s="312" t="s">
        <v>1709</v>
      </c>
      <c r="G2454" s="26">
        <v>0</v>
      </c>
      <c r="H2454" s="26">
        <v>0</v>
      </c>
      <c r="I2454" s="26">
        <v>1800</v>
      </c>
      <c r="J2454" s="26">
        <v>3600</v>
      </c>
      <c r="K2454" s="26">
        <v>3600</v>
      </c>
      <c r="L2454" s="26">
        <v>0</v>
      </c>
      <c r="M2454" s="26">
        <v>3600</v>
      </c>
      <c r="N2454" s="26">
        <v>3600</v>
      </c>
      <c r="P2454" s="214">
        <v>2181</v>
      </c>
      <c r="Q2454" s="215">
        <v>30</v>
      </c>
      <c r="R2454" s="216" t="s">
        <v>1708</v>
      </c>
      <c r="S2454" s="217" t="s">
        <v>1709</v>
      </c>
      <c r="T2454" s="218">
        <v>3600</v>
      </c>
      <c r="U2454" s="218">
        <v>0</v>
      </c>
      <c r="V2454" s="219">
        <v>0</v>
      </c>
      <c r="W2454" s="219">
        <v>0</v>
      </c>
    </row>
    <row r="2455" spans="3:23" ht="15" customHeight="1">
      <c r="C2455" s="3">
        <v>30</v>
      </c>
      <c r="D2455" s="15" t="s">
        <v>1710</v>
      </c>
      <c r="E2455" s="312" t="s">
        <v>1711</v>
      </c>
      <c r="G2455" s="26">
        <v>0</v>
      </c>
      <c r="H2455" s="26">
        <v>0</v>
      </c>
      <c r="I2455" s="26">
        <v>0</v>
      </c>
      <c r="J2455" s="26">
        <v>0</v>
      </c>
      <c r="K2455" s="26">
        <v>3000</v>
      </c>
      <c r="L2455" s="26">
        <v>3000</v>
      </c>
      <c r="M2455" s="26">
        <v>3000</v>
      </c>
      <c r="N2455" s="26">
        <v>2100</v>
      </c>
      <c r="P2455" s="214">
        <v>2182</v>
      </c>
      <c r="Q2455" s="215">
        <v>30</v>
      </c>
      <c r="R2455" s="216" t="s">
        <v>1710</v>
      </c>
      <c r="S2455" s="217" t="s">
        <v>1711</v>
      </c>
      <c r="T2455" s="218">
        <v>3000</v>
      </c>
      <c r="U2455" s="218">
        <v>0</v>
      </c>
      <c r="V2455" s="219">
        <v>3000</v>
      </c>
      <c r="W2455" s="219">
        <v>100</v>
      </c>
    </row>
    <row r="2456" spans="3:23" ht="15" customHeight="1">
      <c r="C2456" s="3">
        <v>30</v>
      </c>
      <c r="D2456" s="15" t="s">
        <v>1712</v>
      </c>
      <c r="E2456" s="312" t="s">
        <v>1713</v>
      </c>
      <c r="G2456" s="26">
        <v>0</v>
      </c>
      <c r="H2456" s="26">
        <v>0</v>
      </c>
      <c r="I2456" s="26">
        <v>2500</v>
      </c>
      <c r="J2456" s="26">
        <v>2000</v>
      </c>
      <c r="K2456" s="26">
        <v>2000</v>
      </c>
      <c r="L2456" s="26">
        <v>2000</v>
      </c>
      <c r="M2456" s="26">
        <v>2000</v>
      </c>
      <c r="N2456" s="26">
        <v>0</v>
      </c>
      <c r="P2456" s="214">
        <v>2183</v>
      </c>
      <c r="Q2456" s="215">
        <v>30</v>
      </c>
      <c r="R2456" s="216" t="s">
        <v>1712</v>
      </c>
      <c r="S2456" s="217" t="s">
        <v>1713</v>
      </c>
      <c r="T2456" s="218">
        <v>2000</v>
      </c>
      <c r="U2456" s="218">
        <v>0</v>
      </c>
      <c r="V2456" s="219">
        <v>2000</v>
      </c>
      <c r="W2456" s="219">
        <v>100</v>
      </c>
    </row>
    <row r="2457" spans="3:23" ht="15" customHeight="1">
      <c r="C2457" s="3">
        <v>30</v>
      </c>
      <c r="D2457" s="15" t="s">
        <v>1714</v>
      </c>
      <c r="E2457" s="312" t="s">
        <v>1715</v>
      </c>
      <c r="G2457" s="26">
        <v>0</v>
      </c>
      <c r="H2457" s="26">
        <v>0</v>
      </c>
      <c r="I2457" s="26">
        <v>700</v>
      </c>
      <c r="J2457" s="26">
        <v>350</v>
      </c>
      <c r="K2457" s="26">
        <v>700</v>
      </c>
      <c r="L2457" s="26">
        <v>700</v>
      </c>
      <c r="M2457" s="26">
        <v>700</v>
      </c>
      <c r="N2457" s="26">
        <v>700</v>
      </c>
      <c r="P2457" s="214">
        <v>2184</v>
      </c>
      <c r="Q2457" s="215">
        <v>30</v>
      </c>
      <c r="R2457" s="216" t="s">
        <v>1714</v>
      </c>
      <c r="S2457" s="217" t="s">
        <v>1715</v>
      </c>
      <c r="T2457" s="218">
        <v>700</v>
      </c>
      <c r="U2457" s="218">
        <v>0</v>
      </c>
      <c r="V2457" s="219">
        <v>700</v>
      </c>
      <c r="W2457" s="219">
        <v>100</v>
      </c>
    </row>
    <row r="2458" spans="3:23" ht="15" customHeight="1">
      <c r="C2458" s="3">
        <v>30</v>
      </c>
      <c r="D2458" s="15" t="s">
        <v>1716</v>
      </c>
      <c r="E2458" s="312" t="s">
        <v>1717</v>
      </c>
      <c r="G2458" s="26">
        <v>0</v>
      </c>
      <c r="H2458" s="26">
        <v>0</v>
      </c>
      <c r="I2458" s="26">
        <v>0</v>
      </c>
      <c r="J2458" s="26">
        <v>0</v>
      </c>
      <c r="K2458" s="26">
        <v>0</v>
      </c>
      <c r="L2458" s="26">
        <v>0</v>
      </c>
      <c r="M2458" s="26">
        <v>0</v>
      </c>
      <c r="N2458" s="26">
        <v>0</v>
      </c>
      <c r="P2458" s="214">
        <v>2185</v>
      </c>
      <c r="Q2458" s="215">
        <v>30</v>
      </c>
      <c r="R2458" s="216" t="s">
        <v>1716</v>
      </c>
      <c r="S2458" s="217" t="s">
        <v>1717</v>
      </c>
      <c r="T2458" s="218">
        <v>0</v>
      </c>
      <c r="U2458" s="218">
        <v>0</v>
      </c>
      <c r="V2458" s="219">
        <v>0</v>
      </c>
      <c r="W2458" s="219">
        <v>0</v>
      </c>
    </row>
    <row r="2459" spans="3:23" ht="15" customHeight="1">
      <c r="C2459" s="3">
        <v>30</v>
      </c>
      <c r="D2459" s="15" t="s">
        <v>1718</v>
      </c>
      <c r="E2459" s="312" t="s">
        <v>1719</v>
      </c>
      <c r="G2459" s="26">
        <v>0</v>
      </c>
      <c r="H2459" s="26">
        <v>0</v>
      </c>
      <c r="I2459" s="26">
        <v>0</v>
      </c>
      <c r="J2459" s="26">
        <v>150</v>
      </c>
      <c r="K2459" s="26">
        <v>300</v>
      </c>
      <c r="L2459" s="26">
        <v>0</v>
      </c>
      <c r="M2459" s="26"/>
      <c r="N2459" s="26">
        <v>300</v>
      </c>
      <c r="P2459" s="214">
        <v>2186</v>
      </c>
      <c r="Q2459" s="215">
        <v>30</v>
      </c>
      <c r="R2459" s="216" t="s">
        <v>1718</v>
      </c>
      <c r="S2459" s="217" t="s">
        <v>1719</v>
      </c>
      <c r="T2459" s="218">
        <v>300</v>
      </c>
      <c r="U2459" s="218">
        <v>0</v>
      </c>
      <c r="V2459" s="219">
        <v>0</v>
      </c>
      <c r="W2459" s="219">
        <v>0</v>
      </c>
    </row>
    <row r="2460" spans="3:23" ht="15" customHeight="1">
      <c r="C2460" s="3">
        <v>30</v>
      </c>
      <c r="D2460" s="15" t="s">
        <v>1720</v>
      </c>
      <c r="E2460" s="312" t="s">
        <v>1721</v>
      </c>
      <c r="G2460" s="26">
        <v>0</v>
      </c>
      <c r="H2460" s="26">
        <v>0</v>
      </c>
      <c r="I2460" s="26">
        <v>3600</v>
      </c>
      <c r="J2460" s="26">
        <v>3600</v>
      </c>
      <c r="K2460" s="26">
        <v>3600</v>
      </c>
      <c r="L2460" s="26">
        <v>0</v>
      </c>
      <c r="M2460" s="26">
        <v>3600</v>
      </c>
      <c r="N2460" s="26">
        <v>3600</v>
      </c>
      <c r="P2460" s="214">
        <v>2187</v>
      </c>
      <c r="Q2460" s="215">
        <v>30</v>
      </c>
      <c r="R2460" s="216" t="s">
        <v>1720</v>
      </c>
      <c r="S2460" s="217" t="s">
        <v>1721</v>
      </c>
      <c r="T2460" s="218">
        <v>3600</v>
      </c>
      <c r="U2460" s="218">
        <v>0</v>
      </c>
      <c r="V2460" s="219">
        <v>0</v>
      </c>
      <c r="W2460" s="219">
        <v>0</v>
      </c>
    </row>
    <row r="2461" spans="3:23" ht="15" customHeight="1">
      <c r="C2461" s="3">
        <v>30</v>
      </c>
      <c r="D2461" s="15" t="s">
        <v>1722</v>
      </c>
      <c r="E2461" s="312" t="s">
        <v>1723</v>
      </c>
      <c r="G2461" s="26">
        <v>0</v>
      </c>
      <c r="H2461" s="26">
        <v>0</v>
      </c>
      <c r="I2461" s="26">
        <v>1000</v>
      </c>
      <c r="J2461" s="26">
        <v>500</v>
      </c>
      <c r="K2461" s="26">
        <v>1000</v>
      </c>
      <c r="L2461" s="26">
        <v>1000</v>
      </c>
      <c r="M2461" s="26">
        <v>1000</v>
      </c>
      <c r="N2461" s="26">
        <v>1000</v>
      </c>
      <c r="P2461" s="214">
        <v>2188</v>
      </c>
      <c r="Q2461" s="215">
        <v>30</v>
      </c>
      <c r="R2461" s="216" t="s">
        <v>1722</v>
      </c>
      <c r="S2461" s="217" t="s">
        <v>1723</v>
      </c>
      <c r="T2461" s="218">
        <v>1000</v>
      </c>
      <c r="U2461" s="218">
        <v>0</v>
      </c>
      <c r="V2461" s="219">
        <v>1000</v>
      </c>
      <c r="W2461" s="219">
        <v>100</v>
      </c>
    </row>
    <row r="2462" spans="3:23" ht="15" customHeight="1">
      <c r="C2462" s="3">
        <v>30</v>
      </c>
      <c r="D2462" s="15" t="s">
        <v>1724</v>
      </c>
      <c r="E2462" s="312" t="s">
        <v>1725</v>
      </c>
      <c r="G2462" s="26">
        <v>0</v>
      </c>
      <c r="H2462" s="26">
        <v>0</v>
      </c>
      <c r="I2462" s="26">
        <v>3500</v>
      </c>
      <c r="J2462" s="26">
        <v>3000</v>
      </c>
      <c r="K2462" s="26">
        <v>1500</v>
      </c>
      <c r="L2462" s="26">
        <v>0</v>
      </c>
      <c r="M2462" s="26">
        <v>1500</v>
      </c>
      <c r="N2462" s="26">
        <v>2500</v>
      </c>
      <c r="P2462" s="214">
        <v>2189</v>
      </c>
      <c r="Q2462" s="215">
        <v>30</v>
      </c>
      <c r="R2462" s="216" t="s">
        <v>1724</v>
      </c>
      <c r="S2462" s="217" t="s">
        <v>1725</v>
      </c>
      <c r="T2462" s="218">
        <v>1500</v>
      </c>
      <c r="U2462" s="218">
        <v>1500</v>
      </c>
      <c r="V2462" s="219">
        <v>1500</v>
      </c>
      <c r="W2462" s="219">
        <v>100</v>
      </c>
    </row>
    <row r="2463" spans="3:23" ht="15" customHeight="1">
      <c r="C2463" s="3">
        <v>30</v>
      </c>
      <c r="D2463" s="15" t="s">
        <v>1726</v>
      </c>
      <c r="E2463" s="312" t="s">
        <v>1727</v>
      </c>
      <c r="G2463" s="26">
        <v>0</v>
      </c>
      <c r="H2463" s="26">
        <v>0</v>
      </c>
      <c r="I2463" s="26">
        <v>0</v>
      </c>
      <c r="J2463" s="26">
        <v>1500</v>
      </c>
      <c r="K2463" s="26">
        <v>2000</v>
      </c>
      <c r="L2463" s="26">
        <v>2000</v>
      </c>
      <c r="M2463" s="26">
        <v>2000</v>
      </c>
      <c r="N2463" s="26">
        <v>2000</v>
      </c>
      <c r="P2463" s="214">
        <v>2190</v>
      </c>
      <c r="Q2463" s="215">
        <v>30</v>
      </c>
      <c r="R2463" s="216" t="s">
        <v>1726</v>
      </c>
      <c r="S2463" s="217" t="s">
        <v>1727</v>
      </c>
      <c r="T2463" s="218">
        <v>2000</v>
      </c>
      <c r="U2463" s="218">
        <v>0</v>
      </c>
      <c r="V2463" s="219">
        <v>2000</v>
      </c>
      <c r="W2463" s="219">
        <v>100</v>
      </c>
    </row>
    <row r="2464" spans="3:23" ht="15" customHeight="1">
      <c r="C2464" s="3">
        <v>30</v>
      </c>
      <c r="D2464" s="15" t="s">
        <v>1728</v>
      </c>
      <c r="E2464" s="312" t="s">
        <v>3095</v>
      </c>
      <c r="G2464" s="26">
        <v>0</v>
      </c>
      <c r="H2464" s="26">
        <v>0</v>
      </c>
      <c r="I2464" s="26">
        <v>0</v>
      </c>
      <c r="J2464" s="26">
        <v>1500</v>
      </c>
      <c r="K2464" s="26">
        <v>1500</v>
      </c>
      <c r="L2464" s="26">
        <v>1500</v>
      </c>
      <c r="M2464" s="26">
        <v>1500</v>
      </c>
      <c r="N2464" s="26">
        <v>3000</v>
      </c>
      <c r="P2464" s="214">
        <v>2191</v>
      </c>
      <c r="Q2464" s="215">
        <v>30</v>
      </c>
      <c r="R2464" s="216" t="s">
        <v>1728</v>
      </c>
      <c r="S2464" s="217" t="s">
        <v>1729</v>
      </c>
      <c r="T2464" s="218">
        <v>1500</v>
      </c>
      <c r="U2464" s="218">
        <v>0</v>
      </c>
      <c r="V2464" s="219">
        <v>1500</v>
      </c>
      <c r="W2464" s="219">
        <v>100</v>
      </c>
    </row>
    <row r="2465" spans="3:23" ht="15" customHeight="1">
      <c r="C2465" s="3">
        <v>30</v>
      </c>
      <c r="D2465" s="15" t="s">
        <v>1730</v>
      </c>
      <c r="E2465" s="312" t="s">
        <v>1731</v>
      </c>
      <c r="G2465" s="26">
        <v>0</v>
      </c>
      <c r="H2465" s="26">
        <v>0</v>
      </c>
      <c r="I2465" s="26">
        <v>3252</v>
      </c>
      <c r="J2465" s="26">
        <v>6000</v>
      </c>
      <c r="K2465" s="26">
        <v>8000</v>
      </c>
      <c r="L2465" s="26">
        <v>8000</v>
      </c>
      <c r="M2465" s="26">
        <v>8000</v>
      </c>
      <c r="N2465" s="26">
        <v>8000</v>
      </c>
      <c r="P2465" s="214">
        <v>2192</v>
      </c>
      <c r="Q2465" s="215">
        <v>30</v>
      </c>
      <c r="R2465" s="216" t="s">
        <v>1730</v>
      </c>
      <c r="S2465" s="217" t="s">
        <v>1731</v>
      </c>
      <c r="T2465" s="218">
        <v>8000</v>
      </c>
      <c r="U2465" s="218">
        <v>0</v>
      </c>
      <c r="V2465" s="219">
        <v>8000</v>
      </c>
      <c r="W2465" s="219">
        <v>100</v>
      </c>
    </row>
    <row r="2466" spans="3:23" ht="15" customHeight="1">
      <c r="C2466" s="3">
        <v>30</v>
      </c>
      <c r="D2466" s="15" t="s">
        <v>1732</v>
      </c>
      <c r="E2466" s="312" t="s">
        <v>1733</v>
      </c>
      <c r="G2466" s="26">
        <v>0</v>
      </c>
      <c r="H2466" s="26">
        <v>0</v>
      </c>
      <c r="I2466" s="26">
        <v>2500</v>
      </c>
      <c r="J2466" s="26">
        <v>2500</v>
      </c>
      <c r="K2466" s="26">
        <v>1000</v>
      </c>
      <c r="L2466" s="26">
        <v>0</v>
      </c>
      <c r="M2466" s="26">
        <v>1000</v>
      </c>
      <c r="N2466" s="26">
        <v>0</v>
      </c>
      <c r="P2466" s="214">
        <v>2193</v>
      </c>
      <c r="Q2466" s="215">
        <v>30</v>
      </c>
      <c r="R2466" s="216" t="s">
        <v>1732</v>
      </c>
      <c r="S2466" s="217" t="s">
        <v>1733</v>
      </c>
      <c r="T2466" s="218">
        <v>1000</v>
      </c>
      <c r="U2466" s="218">
        <v>0</v>
      </c>
      <c r="V2466" s="219">
        <v>0</v>
      </c>
      <c r="W2466" s="219">
        <v>0</v>
      </c>
    </row>
    <row r="2467" spans="3:23" ht="15" customHeight="1">
      <c r="C2467" s="3">
        <v>30</v>
      </c>
      <c r="D2467" s="15" t="s">
        <v>1734</v>
      </c>
      <c r="E2467" s="312" t="s">
        <v>1735</v>
      </c>
      <c r="G2467" s="26">
        <v>0</v>
      </c>
      <c r="H2467" s="26">
        <v>0</v>
      </c>
      <c r="I2467" s="26">
        <v>300</v>
      </c>
      <c r="J2467" s="26">
        <v>500</v>
      </c>
      <c r="K2467" s="26">
        <v>500</v>
      </c>
      <c r="L2467" s="26">
        <v>0</v>
      </c>
      <c r="M2467" s="26">
        <v>500</v>
      </c>
      <c r="N2467" s="26">
        <v>500</v>
      </c>
      <c r="P2467" s="214">
        <v>2194</v>
      </c>
      <c r="Q2467" s="215">
        <v>30</v>
      </c>
      <c r="R2467" s="216" t="s">
        <v>1734</v>
      </c>
      <c r="S2467" s="217" t="s">
        <v>1735</v>
      </c>
      <c r="T2467" s="218">
        <v>500</v>
      </c>
      <c r="U2467" s="218">
        <v>500</v>
      </c>
      <c r="V2467" s="219">
        <v>500</v>
      </c>
      <c r="W2467" s="219">
        <v>100</v>
      </c>
    </row>
    <row r="2468" spans="3:23" ht="15" customHeight="1">
      <c r="C2468" s="3">
        <v>30</v>
      </c>
      <c r="D2468" s="15" t="s">
        <v>1736</v>
      </c>
      <c r="E2468" s="312" t="s">
        <v>1737</v>
      </c>
      <c r="G2468" s="26">
        <v>0</v>
      </c>
      <c r="H2468" s="26">
        <v>0</v>
      </c>
      <c r="I2468" s="26">
        <v>500</v>
      </c>
      <c r="J2468" s="26">
        <v>0</v>
      </c>
      <c r="K2468" s="26">
        <v>0</v>
      </c>
      <c r="L2468" s="26">
        <v>0</v>
      </c>
      <c r="M2468" s="26">
        <v>0</v>
      </c>
      <c r="N2468" s="26">
        <v>0</v>
      </c>
      <c r="P2468" s="214">
        <v>2195</v>
      </c>
      <c r="Q2468" s="215">
        <v>30</v>
      </c>
      <c r="R2468" s="216" t="s">
        <v>1736</v>
      </c>
      <c r="S2468" s="217" t="s">
        <v>1737</v>
      </c>
      <c r="T2468" s="218">
        <v>0</v>
      </c>
      <c r="U2468" s="218">
        <v>0</v>
      </c>
      <c r="V2468" s="219">
        <v>0</v>
      </c>
      <c r="W2468" s="219">
        <v>0</v>
      </c>
    </row>
    <row r="2469" spans="3:23" ht="15" customHeight="1">
      <c r="C2469" s="3">
        <v>30</v>
      </c>
      <c r="D2469" s="15" t="s">
        <v>1738</v>
      </c>
      <c r="E2469" s="312" t="s">
        <v>1739</v>
      </c>
      <c r="G2469" s="26">
        <v>0</v>
      </c>
      <c r="H2469" s="26">
        <v>0</v>
      </c>
      <c r="I2469" s="26">
        <v>0</v>
      </c>
      <c r="J2469" s="26">
        <v>0</v>
      </c>
      <c r="K2469" s="26">
        <v>0</v>
      </c>
      <c r="L2469" s="26">
        <v>0</v>
      </c>
      <c r="M2469" s="26">
        <v>0</v>
      </c>
      <c r="N2469" s="26">
        <v>0</v>
      </c>
      <c r="P2469" s="214">
        <v>2196</v>
      </c>
      <c r="Q2469" s="215">
        <v>30</v>
      </c>
      <c r="R2469" s="216" t="s">
        <v>1738</v>
      </c>
      <c r="S2469" s="217" t="s">
        <v>1739</v>
      </c>
      <c r="T2469" s="218">
        <v>0</v>
      </c>
      <c r="U2469" s="218">
        <v>0</v>
      </c>
      <c r="V2469" s="219">
        <v>0</v>
      </c>
      <c r="W2469" s="219">
        <v>0</v>
      </c>
    </row>
    <row r="2470" spans="3:23" ht="15" customHeight="1">
      <c r="C2470" s="3">
        <v>30</v>
      </c>
      <c r="D2470" s="15" t="s">
        <v>1740</v>
      </c>
      <c r="E2470" s="312" t="s">
        <v>1741</v>
      </c>
      <c r="G2470" s="26">
        <v>0</v>
      </c>
      <c r="H2470" s="26">
        <v>0</v>
      </c>
      <c r="I2470" s="26">
        <v>500</v>
      </c>
      <c r="J2470" s="26">
        <v>500</v>
      </c>
      <c r="K2470" s="26">
        <v>500</v>
      </c>
      <c r="L2470" s="26">
        <v>0</v>
      </c>
      <c r="M2470" s="26">
        <v>500</v>
      </c>
      <c r="N2470" s="26">
        <v>0</v>
      </c>
      <c r="P2470" s="214">
        <v>2197</v>
      </c>
      <c r="Q2470" s="215">
        <v>30</v>
      </c>
      <c r="R2470" s="216" t="s">
        <v>1740</v>
      </c>
      <c r="S2470" s="217" t="s">
        <v>1741</v>
      </c>
      <c r="T2470" s="218">
        <v>500</v>
      </c>
      <c r="U2470" s="218">
        <v>0</v>
      </c>
      <c r="V2470" s="219">
        <v>0</v>
      </c>
      <c r="W2470" s="219">
        <v>0</v>
      </c>
    </row>
    <row r="2471" spans="3:23" ht="15" customHeight="1">
      <c r="C2471" s="3">
        <v>30</v>
      </c>
      <c r="D2471" s="15" t="s">
        <v>1742</v>
      </c>
      <c r="E2471" s="312" t="s">
        <v>1743</v>
      </c>
      <c r="G2471" s="26">
        <v>0</v>
      </c>
      <c r="H2471" s="26">
        <v>0</v>
      </c>
      <c r="I2471" s="26">
        <v>500</v>
      </c>
      <c r="J2471" s="26">
        <v>500</v>
      </c>
      <c r="K2471" s="26">
        <v>0</v>
      </c>
      <c r="L2471" s="26">
        <v>0</v>
      </c>
      <c r="M2471" s="26">
        <v>0</v>
      </c>
      <c r="N2471" s="26">
        <v>0</v>
      </c>
      <c r="P2471" s="214">
        <v>2198</v>
      </c>
      <c r="Q2471" s="215">
        <v>30</v>
      </c>
      <c r="R2471" s="216" t="s">
        <v>1742</v>
      </c>
      <c r="S2471" s="217" t="s">
        <v>1743</v>
      </c>
      <c r="T2471" s="218">
        <v>0</v>
      </c>
      <c r="U2471" s="218">
        <v>0</v>
      </c>
      <c r="V2471" s="219">
        <v>0</v>
      </c>
      <c r="W2471" s="219">
        <v>0</v>
      </c>
    </row>
    <row r="2472" spans="3:23" ht="15" customHeight="1">
      <c r="C2472" s="3">
        <v>30</v>
      </c>
      <c r="D2472" s="15" t="s">
        <v>1744</v>
      </c>
      <c r="E2472" s="312" t="s">
        <v>1745</v>
      </c>
      <c r="G2472" s="26">
        <v>0</v>
      </c>
      <c r="H2472" s="26">
        <v>0</v>
      </c>
      <c r="I2472" s="26">
        <v>2500</v>
      </c>
      <c r="J2472" s="26">
        <v>2100</v>
      </c>
      <c r="K2472" s="26">
        <v>2500</v>
      </c>
      <c r="L2472" s="26">
        <v>2500</v>
      </c>
      <c r="M2472" s="26">
        <v>2500</v>
      </c>
      <c r="N2472" s="26">
        <v>2500</v>
      </c>
      <c r="P2472" s="214">
        <v>2199</v>
      </c>
      <c r="Q2472" s="215">
        <v>30</v>
      </c>
      <c r="R2472" s="216" t="s">
        <v>1744</v>
      </c>
      <c r="S2472" s="217" t="s">
        <v>1745</v>
      </c>
      <c r="T2472" s="218">
        <v>2500</v>
      </c>
      <c r="U2472" s="218">
        <v>0</v>
      </c>
      <c r="V2472" s="219">
        <v>2500</v>
      </c>
      <c r="W2472" s="219">
        <v>100</v>
      </c>
    </row>
    <row r="2473" spans="3:23" ht="15" customHeight="1">
      <c r="C2473" s="3">
        <v>30</v>
      </c>
      <c r="D2473" s="15" t="s">
        <v>1746</v>
      </c>
      <c r="E2473" s="312" t="s">
        <v>1747</v>
      </c>
      <c r="G2473" s="26">
        <v>0</v>
      </c>
      <c r="H2473" s="26">
        <v>0</v>
      </c>
      <c r="I2473" s="26">
        <v>500</v>
      </c>
      <c r="J2473" s="26">
        <v>500</v>
      </c>
      <c r="K2473" s="26">
        <v>0</v>
      </c>
      <c r="L2473" s="26">
        <v>0</v>
      </c>
      <c r="M2473" s="26">
        <v>0</v>
      </c>
      <c r="N2473" s="26">
        <v>0</v>
      </c>
      <c r="P2473" s="214">
        <v>2200</v>
      </c>
      <c r="Q2473" s="215">
        <v>30</v>
      </c>
      <c r="R2473" s="216" t="s">
        <v>1746</v>
      </c>
      <c r="S2473" s="217" t="s">
        <v>1747</v>
      </c>
      <c r="T2473" s="218">
        <v>0</v>
      </c>
      <c r="U2473" s="218">
        <v>0</v>
      </c>
      <c r="V2473" s="219">
        <v>0</v>
      </c>
      <c r="W2473" s="219">
        <v>0</v>
      </c>
    </row>
    <row r="2474" spans="3:23" ht="15" customHeight="1">
      <c r="C2474" s="3">
        <v>30</v>
      </c>
      <c r="D2474" s="15" t="s">
        <v>1748</v>
      </c>
      <c r="E2474" s="312" t="s">
        <v>1749</v>
      </c>
      <c r="G2474" s="26">
        <v>0</v>
      </c>
      <c r="H2474" s="26">
        <v>0</v>
      </c>
      <c r="I2474" s="26">
        <v>0</v>
      </c>
      <c r="J2474" s="26">
        <v>8000</v>
      </c>
      <c r="K2474" s="26">
        <v>10000</v>
      </c>
      <c r="L2474" s="26">
        <v>0</v>
      </c>
      <c r="M2474" s="26">
        <v>10000</v>
      </c>
      <c r="N2474" s="26">
        <v>10000</v>
      </c>
      <c r="P2474" s="214">
        <v>2201</v>
      </c>
      <c r="Q2474" s="215">
        <v>30</v>
      </c>
      <c r="R2474" s="216" t="s">
        <v>1748</v>
      </c>
      <c r="S2474" s="217" t="s">
        <v>1749</v>
      </c>
      <c r="T2474" s="218">
        <v>10000</v>
      </c>
      <c r="U2474" s="218">
        <v>0</v>
      </c>
      <c r="V2474" s="219">
        <v>0</v>
      </c>
      <c r="W2474" s="219">
        <v>0</v>
      </c>
    </row>
    <row r="2475" spans="3:23" ht="15" customHeight="1">
      <c r="C2475" s="3">
        <v>30</v>
      </c>
      <c r="D2475" s="15" t="s">
        <v>1750</v>
      </c>
      <c r="E2475" s="312" t="s">
        <v>1751</v>
      </c>
      <c r="G2475" s="26">
        <v>0</v>
      </c>
      <c r="H2475" s="26">
        <v>0</v>
      </c>
      <c r="I2475" s="26">
        <v>0</v>
      </c>
      <c r="J2475" s="26">
        <v>500</v>
      </c>
      <c r="K2475" s="26">
        <v>0</v>
      </c>
      <c r="L2475" s="26">
        <v>0</v>
      </c>
      <c r="M2475" s="26">
        <v>0</v>
      </c>
      <c r="N2475" s="26">
        <v>0</v>
      </c>
      <c r="P2475" s="214">
        <v>2202</v>
      </c>
      <c r="Q2475" s="215">
        <v>30</v>
      </c>
      <c r="R2475" s="216" t="s">
        <v>1750</v>
      </c>
      <c r="S2475" s="217" t="s">
        <v>1751</v>
      </c>
      <c r="T2475" s="218">
        <v>0</v>
      </c>
      <c r="U2475" s="218">
        <v>0</v>
      </c>
      <c r="V2475" s="219">
        <v>0</v>
      </c>
      <c r="W2475" s="219">
        <v>0</v>
      </c>
    </row>
    <row r="2476" spans="3:23" ht="15" customHeight="1">
      <c r="C2476" s="3">
        <v>30</v>
      </c>
      <c r="D2476" s="14" t="s">
        <v>2563</v>
      </c>
      <c r="E2476" s="312" t="s">
        <v>2557</v>
      </c>
      <c r="G2476" s="26">
        <v>0</v>
      </c>
      <c r="H2476" s="26">
        <v>0</v>
      </c>
      <c r="I2476" s="26">
        <v>0</v>
      </c>
      <c r="J2476" s="26">
        <v>0</v>
      </c>
      <c r="K2476" s="26">
        <v>1000</v>
      </c>
      <c r="L2476" s="26">
        <v>1000</v>
      </c>
      <c r="M2476" s="26">
        <v>1000</v>
      </c>
      <c r="N2476" s="26">
        <v>0</v>
      </c>
      <c r="P2476" s="214">
        <v>2203</v>
      </c>
      <c r="Q2476" s="215">
        <v>30</v>
      </c>
      <c r="R2476" s="216" t="s">
        <v>2563</v>
      </c>
      <c r="S2476" s="217" t="s">
        <v>2557</v>
      </c>
      <c r="T2476" s="218">
        <v>1000</v>
      </c>
      <c r="U2476" s="218">
        <v>0</v>
      </c>
      <c r="V2476" s="219">
        <v>1000</v>
      </c>
      <c r="W2476" s="219">
        <v>100</v>
      </c>
    </row>
    <row r="2477" spans="3:23" ht="15" customHeight="1">
      <c r="C2477" s="3">
        <v>30</v>
      </c>
      <c r="D2477" s="14" t="s">
        <v>2564</v>
      </c>
      <c r="E2477" s="312" t="s">
        <v>2558</v>
      </c>
      <c r="G2477" s="26">
        <v>0</v>
      </c>
      <c r="H2477" s="26">
        <v>0</v>
      </c>
      <c r="I2477" s="26">
        <v>0</v>
      </c>
      <c r="J2477" s="26">
        <v>0</v>
      </c>
      <c r="K2477" s="26">
        <v>2000</v>
      </c>
      <c r="L2477" s="26">
        <v>2000</v>
      </c>
      <c r="M2477" s="26">
        <v>2000</v>
      </c>
      <c r="N2477" s="26">
        <v>2000</v>
      </c>
      <c r="P2477" s="214">
        <v>2204</v>
      </c>
      <c r="Q2477" s="215">
        <v>30</v>
      </c>
      <c r="R2477" s="216" t="s">
        <v>2564</v>
      </c>
      <c r="S2477" s="217" t="s">
        <v>2558</v>
      </c>
      <c r="T2477" s="218">
        <v>2000</v>
      </c>
      <c r="U2477" s="218">
        <v>0</v>
      </c>
      <c r="V2477" s="219">
        <v>2000</v>
      </c>
      <c r="W2477" s="219">
        <v>100</v>
      </c>
    </row>
    <row r="2478" spans="3:23" ht="15" customHeight="1">
      <c r="C2478" s="3">
        <v>30</v>
      </c>
      <c r="D2478" s="14" t="s">
        <v>2565</v>
      </c>
      <c r="E2478" s="312" t="s">
        <v>2559</v>
      </c>
      <c r="G2478" s="26">
        <v>0</v>
      </c>
      <c r="H2478" s="26">
        <v>0</v>
      </c>
      <c r="I2478" s="26">
        <v>0</v>
      </c>
      <c r="J2478" s="26">
        <v>0</v>
      </c>
      <c r="K2478" s="26">
        <v>2600</v>
      </c>
      <c r="L2478" s="26">
        <v>2600</v>
      </c>
      <c r="M2478" s="26">
        <v>2600</v>
      </c>
      <c r="N2478" s="26">
        <v>2600</v>
      </c>
      <c r="P2478" s="214">
        <v>2205</v>
      </c>
      <c r="Q2478" s="215">
        <v>30</v>
      </c>
      <c r="R2478" s="216" t="s">
        <v>2565</v>
      </c>
      <c r="S2478" s="217" t="s">
        <v>2559</v>
      </c>
      <c r="T2478" s="218">
        <v>2600</v>
      </c>
      <c r="U2478" s="218">
        <v>0</v>
      </c>
      <c r="V2478" s="219">
        <v>2600</v>
      </c>
      <c r="W2478" s="219">
        <v>100</v>
      </c>
    </row>
    <row r="2479" spans="3:23" ht="15" customHeight="1">
      <c r="C2479" s="3">
        <v>30</v>
      </c>
      <c r="D2479" s="14" t="s">
        <v>2566</v>
      </c>
      <c r="E2479" s="312" t="s">
        <v>2560</v>
      </c>
      <c r="G2479" s="26">
        <v>0</v>
      </c>
      <c r="H2479" s="26">
        <v>0</v>
      </c>
      <c r="I2479" s="26">
        <v>0</v>
      </c>
      <c r="J2479" s="26">
        <v>0</v>
      </c>
      <c r="K2479" s="26">
        <v>2500</v>
      </c>
      <c r="L2479" s="26">
        <v>2500</v>
      </c>
      <c r="M2479" s="26">
        <v>2500</v>
      </c>
      <c r="N2479" s="26">
        <v>2000</v>
      </c>
      <c r="P2479" s="214">
        <v>2206</v>
      </c>
      <c r="Q2479" s="215">
        <v>30</v>
      </c>
      <c r="R2479" s="216" t="s">
        <v>2566</v>
      </c>
      <c r="S2479" s="217" t="s">
        <v>2560</v>
      </c>
      <c r="T2479" s="218">
        <v>2500</v>
      </c>
      <c r="U2479" s="218">
        <v>0</v>
      </c>
      <c r="V2479" s="219">
        <v>2500</v>
      </c>
      <c r="W2479" s="219">
        <v>100</v>
      </c>
    </row>
    <row r="2480" spans="3:23" ht="15" customHeight="1">
      <c r="C2480" s="3">
        <v>30</v>
      </c>
      <c r="D2480" s="14" t="s">
        <v>2567</v>
      </c>
      <c r="E2480" s="312" t="s">
        <v>2561</v>
      </c>
      <c r="G2480" s="26">
        <v>0</v>
      </c>
      <c r="H2480" s="26">
        <v>0</v>
      </c>
      <c r="I2480" s="26">
        <v>0</v>
      </c>
      <c r="J2480" s="26">
        <v>0</v>
      </c>
      <c r="K2480" s="26">
        <v>2500</v>
      </c>
      <c r="L2480" s="26">
        <v>0</v>
      </c>
      <c r="M2480" s="26">
        <v>2500</v>
      </c>
      <c r="N2480" s="26"/>
      <c r="P2480" s="214">
        <v>2207</v>
      </c>
      <c r="Q2480" s="215">
        <v>30</v>
      </c>
      <c r="R2480" s="216" t="s">
        <v>2567</v>
      </c>
      <c r="S2480" s="217" t="s">
        <v>2561</v>
      </c>
      <c r="T2480" s="218">
        <v>2500</v>
      </c>
      <c r="U2480" s="218">
        <v>0</v>
      </c>
      <c r="V2480" s="219">
        <v>0</v>
      </c>
      <c r="W2480" s="219">
        <v>0</v>
      </c>
    </row>
    <row r="2481" spans="3:23" ht="15" customHeight="1">
      <c r="C2481" s="3">
        <v>30</v>
      </c>
      <c r="D2481" s="14" t="s">
        <v>1752</v>
      </c>
      <c r="E2481" s="312" t="s">
        <v>1753</v>
      </c>
      <c r="G2481" s="26">
        <v>0</v>
      </c>
      <c r="H2481" s="26">
        <v>0</v>
      </c>
      <c r="I2481" s="26">
        <v>0</v>
      </c>
      <c r="J2481" s="26">
        <v>2000</v>
      </c>
      <c r="K2481" s="26">
        <v>2500</v>
      </c>
      <c r="L2481" s="26">
        <v>2500</v>
      </c>
      <c r="M2481" s="26">
        <v>2500</v>
      </c>
      <c r="N2481" s="26">
        <v>2500</v>
      </c>
      <c r="P2481" s="214">
        <v>2208</v>
      </c>
      <c r="Q2481" s="215">
        <v>30</v>
      </c>
      <c r="R2481" s="216" t="s">
        <v>1752</v>
      </c>
      <c r="S2481" s="217" t="s">
        <v>1753</v>
      </c>
      <c r="T2481" s="218">
        <v>2500</v>
      </c>
      <c r="U2481" s="218">
        <v>0</v>
      </c>
      <c r="V2481" s="219">
        <v>2500</v>
      </c>
      <c r="W2481" s="219">
        <v>100</v>
      </c>
    </row>
    <row r="2482" spans="3:23" ht="15" customHeight="1">
      <c r="C2482" s="3">
        <v>30</v>
      </c>
      <c r="D2482" s="14" t="s">
        <v>3097</v>
      </c>
      <c r="E2482" s="312" t="s">
        <v>2909</v>
      </c>
      <c r="G2482" s="26"/>
      <c r="H2482" s="26"/>
      <c r="I2482" s="26"/>
      <c r="J2482" s="26">
        <v>0</v>
      </c>
      <c r="K2482" s="26">
        <v>0</v>
      </c>
      <c r="L2482" s="26"/>
      <c r="M2482" s="26">
        <v>0</v>
      </c>
      <c r="N2482" s="26">
        <v>1500</v>
      </c>
      <c r="P2482" s="214"/>
      <c r="Q2482" s="215"/>
      <c r="R2482" s="216"/>
      <c r="S2482" s="217"/>
      <c r="T2482" s="218"/>
      <c r="U2482" s="218"/>
      <c r="V2482" s="219"/>
      <c r="W2482" s="219"/>
    </row>
    <row r="2483" spans="3:23" ht="15" customHeight="1">
      <c r="C2483" s="3">
        <v>30</v>
      </c>
      <c r="D2483" s="14" t="s">
        <v>3098</v>
      </c>
      <c r="E2483" s="312" t="s">
        <v>2910</v>
      </c>
      <c r="G2483" s="26"/>
      <c r="H2483" s="26"/>
      <c r="I2483" s="26"/>
      <c r="J2483" s="26">
        <v>0</v>
      </c>
      <c r="K2483" s="26">
        <v>0</v>
      </c>
      <c r="L2483" s="26"/>
      <c r="M2483" s="26">
        <v>0</v>
      </c>
      <c r="N2483" s="26">
        <v>2000</v>
      </c>
      <c r="P2483" s="214"/>
      <c r="Q2483" s="215"/>
      <c r="R2483" s="216"/>
      <c r="S2483" s="217"/>
      <c r="T2483" s="218"/>
      <c r="U2483" s="218"/>
      <c r="V2483" s="219"/>
      <c r="W2483" s="219"/>
    </row>
    <row r="2484" spans="3:23" ht="15" customHeight="1">
      <c r="C2484" s="3">
        <v>30</v>
      </c>
      <c r="D2484" s="14" t="s">
        <v>3099</v>
      </c>
      <c r="E2484" s="312" t="s">
        <v>2911</v>
      </c>
      <c r="G2484" s="26"/>
      <c r="H2484" s="26"/>
      <c r="I2484" s="26"/>
      <c r="J2484" s="26">
        <v>0</v>
      </c>
      <c r="K2484" s="26">
        <v>0</v>
      </c>
      <c r="L2484" s="26"/>
      <c r="M2484" s="26">
        <v>0</v>
      </c>
      <c r="N2484" s="26">
        <v>2000</v>
      </c>
      <c r="P2484" s="214"/>
      <c r="Q2484" s="215"/>
      <c r="R2484" s="216"/>
      <c r="S2484" s="217"/>
      <c r="T2484" s="218"/>
      <c r="U2484" s="218"/>
      <c r="V2484" s="219"/>
      <c r="W2484" s="219"/>
    </row>
    <row r="2485" spans="3:23" ht="15" customHeight="1">
      <c r="C2485" s="3">
        <v>30</v>
      </c>
      <c r="D2485" s="14" t="s">
        <v>3100</v>
      </c>
      <c r="E2485" s="312" t="s">
        <v>2912</v>
      </c>
      <c r="G2485" s="26"/>
      <c r="H2485" s="26"/>
      <c r="I2485" s="26"/>
      <c r="J2485" s="26">
        <v>0</v>
      </c>
      <c r="K2485" s="26">
        <v>0</v>
      </c>
      <c r="L2485" s="26"/>
      <c r="M2485" s="26">
        <v>0</v>
      </c>
      <c r="N2485" s="26">
        <f>1250+1000+2000</f>
        <v>4250</v>
      </c>
      <c r="O2485" s="99" t="s">
        <v>2916</v>
      </c>
      <c r="P2485" s="214"/>
      <c r="Q2485" s="215"/>
      <c r="R2485" s="216"/>
      <c r="S2485" s="217"/>
      <c r="T2485" s="218"/>
      <c r="U2485" s="218"/>
      <c r="V2485" s="219"/>
      <c r="W2485" s="219"/>
    </row>
    <row r="2486" spans="3:23" ht="15" customHeight="1">
      <c r="C2486" s="3">
        <v>30</v>
      </c>
      <c r="D2486" s="14" t="s">
        <v>3101</v>
      </c>
      <c r="E2486" s="312" t="s">
        <v>2913</v>
      </c>
      <c r="G2486" s="26"/>
      <c r="H2486" s="26"/>
      <c r="I2486" s="26"/>
      <c r="J2486" s="26">
        <v>0</v>
      </c>
      <c r="K2486" s="26">
        <v>0</v>
      </c>
      <c r="L2486" s="26"/>
      <c r="M2486" s="26">
        <v>0</v>
      </c>
      <c r="N2486" s="26">
        <v>1250</v>
      </c>
      <c r="O2486" s="99"/>
      <c r="P2486" s="214"/>
      <c r="Q2486" s="215"/>
      <c r="R2486" s="216"/>
      <c r="S2486" s="217"/>
      <c r="T2486" s="218"/>
      <c r="U2486" s="218"/>
      <c r="V2486" s="219"/>
      <c r="W2486" s="219"/>
    </row>
    <row r="2487" spans="3:23" ht="15" customHeight="1">
      <c r="C2487" s="3">
        <v>30</v>
      </c>
      <c r="D2487" s="14" t="s">
        <v>3102</v>
      </c>
      <c r="E2487" s="312" t="s">
        <v>2914</v>
      </c>
      <c r="G2487" s="26"/>
      <c r="H2487" s="26"/>
      <c r="I2487" s="26"/>
      <c r="J2487" s="26">
        <v>0</v>
      </c>
      <c r="K2487" s="26">
        <v>0</v>
      </c>
      <c r="L2487" s="26"/>
      <c r="M2487" s="26">
        <v>0</v>
      </c>
      <c r="N2487" s="26">
        <v>500</v>
      </c>
      <c r="O2487" s="99"/>
      <c r="P2487" s="214"/>
      <c r="Q2487" s="215"/>
      <c r="R2487" s="216"/>
      <c r="S2487" s="217"/>
      <c r="T2487" s="218"/>
      <c r="U2487" s="218"/>
      <c r="V2487" s="219"/>
      <c r="W2487" s="219"/>
    </row>
    <row r="2488" spans="3:23" ht="15" customHeight="1">
      <c r="C2488" s="3">
        <v>30</v>
      </c>
      <c r="D2488" s="14" t="s">
        <v>3103</v>
      </c>
      <c r="E2488" s="312" t="s">
        <v>2915</v>
      </c>
      <c r="G2488" s="26"/>
      <c r="H2488" s="26"/>
      <c r="I2488" s="26"/>
      <c r="J2488" s="26">
        <v>0</v>
      </c>
      <c r="K2488" s="26">
        <v>0</v>
      </c>
      <c r="L2488" s="26"/>
      <c r="M2488" s="26">
        <v>0</v>
      </c>
      <c r="N2488" s="26">
        <v>1250</v>
      </c>
      <c r="P2488" s="214"/>
      <c r="Q2488" s="215"/>
      <c r="R2488" s="216"/>
      <c r="S2488" s="217"/>
      <c r="T2488" s="218"/>
      <c r="U2488" s="218"/>
      <c r="V2488" s="219"/>
      <c r="W2488" s="219"/>
    </row>
    <row r="2489" spans="3:23" ht="15" customHeight="1">
      <c r="C2489" s="3">
        <v>30</v>
      </c>
      <c r="D2489" s="14" t="s">
        <v>2568</v>
      </c>
      <c r="E2489" s="312" t="s">
        <v>1771</v>
      </c>
      <c r="G2489" s="26">
        <v>0</v>
      </c>
      <c r="H2489" s="26">
        <v>0</v>
      </c>
      <c r="I2489" s="26">
        <v>0</v>
      </c>
      <c r="J2489" s="26">
        <v>2500</v>
      </c>
      <c r="K2489" s="26">
        <v>10000</v>
      </c>
      <c r="L2489" s="26">
        <v>10000</v>
      </c>
      <c r="M2489" s="26">
        <v>10000</v>
      </c>
      <c r="N2489" s="26">
        <f>7500+800</f>
        <v>8300</v>
      </c>
      <c r="O2489" s="275" t="s">
        <v>2908</v>
      </c>
      <c r="P2489" s="214">
        <v>2209</v>
      </c>
      <c r="Q2489" s="215">
        <v>30</v>
      </c>
      <c r="R2489" s="216" t="s">
        <v>2568</v>
      </c>
      <c r="S2489" s="217" t="s">
        <v>1771</v>
      </c>
      <c r="T2489" s="218">
        <v>10000</v>
      </c>
      <c r="U2489" s="218">
        <v>0</v>
      </c>
      <c r="V2489" s="219">
        <v>10000</v>
      </c>
      <c r="W2489" s="219">
        <v>100</v>
      </c>
    </row>
    <row r="2490" spans="3:23" ht="15" customHeight="1">
      <c r="C2490" s="3">
        <v>30</v>
      </c>
      <c r="D2490" s="14" t="s">
        <v>1754</v>
      </c>
      <c r="E2490" s="312" t="s">
        <v>1755</v>
      </c>
      <c r="G2490" s="26">
        <v>0</v>
      </c>
      <c r="H2490" s="26">
        <v>0</v>
      </c>
      <c r="I2490" s="26">
        <v>12660</v>
      </c>
      <c r="J2490" s="26">
        <v>17399</v>
      </c>
      <c r="K2490" s="26">
        <v>30000</v>
      </c>
      <c r="L2490" s="26">
        <v>21568</v>
      </c>
      <c r="M2490" s="26">
        <v>32743.02</v>
      </c>
      <c r="N2490" s="26">
        <v>34700</v>
      </c>
      <c r="O2490" s="2"/>
      <c r="P2490" s="214">
        <v>2210</v>
      </c>
      <c r="Q2490" s="215">
        <v>30</v>
      </c>
      <c r="R2490" s="216" t="s">
        <v>1754</v>
      </c>
      <c r="S2490" s="217" t="s">
        <v>1755</v>
      </c>
      <c r="T2490" s="218">
        <v>30000</v>
      </c>
      <c r="U2490" s="218">
        <v>575</v>
      </c>
      <c r="V2490" s="219">
        <v>22142.73</v>
      </c>
      <c r="W2490" s="219">
        <v>73.81</v>
      </c>
    </row>
    <row r="2491" spans="3:23" ht="15" customHeight="1">
      <c r="C2491" s="3">
        <v>30</v>
      </c>
      <c r="D2491" s="14" t="s">
        <v>1756</v>
      </c>
      <c r="E2491" s="312" t="s">
        <v>1757</v>
      </c>
      <c r="G2491" s="26">
        <v>0</v>
      </c>
      <c r="H2491" s="26">
        <v>0</v>
      </c>
      <c r="I2491" s="26">
        <v>0</v>
      </c>
      <c r="J2491" s="26">
        <v>2682</v>
      </c>
      <c r="K2491" s="26">
        <v>10000</v>
      </c>
      <c r="L2491" s="26">
        <v>4840</v>
      </c>
      <c r="M2491" s="26">
        <v>5000</v>
      </c>
      <c r="N2491" s="26">
        <v>5000</v>
      </c>
      <c r="P2491" s="214">
        <v>2211</v>
      </c>
      <c r="Q2491" s="215">
        <v>30</v>
      </c>
      <c r="R2491" s="216" t="s">
        <v>1756</v>
      </c>
      <c r="S2491" s="217" t="s">
        <v>1757</v>
      </c>
      <c r="T2491" s="218">
        <v>10000</v>
      </c>
      <c r="U2491" s="218">
        <v>0</v>
      </c>
      <c r="V2491" s="219">
        <v>4840.1499999999996</v>
      </c>
      <c r="W2491" s="219">
        <v>48.4</v>
      </c>
    </row>
    <row r="2492" spans="3:23" ht="15" customHeight="1">
      <c r="C2492" s="3">
        <v>30</v>
      </c>
      <c r="D2492" s="15" t="s">
        <v>1758</v>
      </c>
      <c r="E2492" s="312" t="s">
        <v>1759</v>
      </c>
      <c r="G2492" s="26">
        <v>0</v>
      </c>
      <c r="H2492" s="26">
        <v>0</v>
      </c>
      <c r="I2492" s="26">
        <v>0</v>
      </c>
      <c r="J2492" s="26">
        <v>0</v>
      </c>
      <c r="K2492" s="26">
        <v>6000</v>
      </c>
      <c r="L2492" s="26">
        <v>0</v>
      </c>
      <c r="M2492" s="26">
        <v>0</v>
      </c>
      <c r="N2492" s="26">
        <v>6000</v>
      </c>
      <c r="P2492" s="214">
        <v>2212</v>
      </c>
      <c r="Q2492" s="215">
        <v>30</v>
      </c>
      <c r="R2492" s="216" t="s">
        <v>1758</v>
      </c>
      <c r="S2492" s="217" t="s">
        <v>1759</v>
      </c>
      <c r="T2492" s="218">
        <v>6000</v>
      </c>
      <c r="U2492" s="218">
        <v>0</v>
      </c>
      <c r="V2492" s="219">
        <v>0</v>
      </c>
      <c r="W2492" s="219">
        <v>0</v>
      </c>
    </row>
    <row r="2493" spans="3:23" ht="15" customHeight="1">
      <c r="C2493" s="3">
        <v>30</v>
      </c>
      <c r="D2493" s="15" t="s">
        <v>1760</v>
      </c>
      <c r="E2493" s="312" t="s">
        <v>1761</v>
      </c>
      <c r="G2493" s="26">
        <v>0</v>
      </c>
      <c r="H2493" s="26">
        <v>0</v>
      </c>
      <c r="I2493" s="26">
        <v>195</v>
      </c>
      <c r="J2493" s="26">
        <v>2145</v>
      </c>
      <c r="K2493" s="26">
        <v>3000</v>
      </c>
      <c r="L2493" s="26">
        <v>2340</v>
      </c>
      <c r="M2493" s="26">
        <v>2340</v>
      </c>
      <c r="N2493" s="26">
        <v>3000</v>
      </c>
      <c r="P2493" s="214">
        <v>2213</v>
      </c>
      <c r="Q2493" s="215">
        <v>30</v>
      </c>
      <c r="R2493" s="216" t="s">
        <v>1760</v>
      </c>
      <c r="S2493" s="217" t="s">
        <v>1761</v>
      </c>
      <c r="T2493" s="218">
        <v>3000</v>
      </c>
      <c r="U2493" s="218">
        <v>0</v>
      </c>
      <c r="V2493" s="219">
        <v>2340</v>
      </c>
      <c r="W2493" s="219">
        <v>78</v>
      </c>
    </row>
    <row r="2494" spans="3:23" ht="15" customHeight="1">
      <c r="C2494" s="3">
        <v>30</v>
      </c>
      <c r="D2494" s="15" t="s">
        <v>1762</v>
      </c>
      <c r="E2494" s="312" t="s">
        <v>1763</v>
      </c>
      <c r="G2494" s="26">
        <v>0</v>
      </c>
      <c r="H2494" s="26">
        <v>0</v>
      </c>
      <c r="I2494" s="26">
        <v>0</v>
      </c>
      <c r="J2494" s="26">
        <v>3250</v>
      </c>
      <c r="K2494" s="26">
        <v>0</v>
      </c>
      <c r="L2494" s="26">
        <v>0</v>
      </c>
      <c r="M2494" s="26">
        <v>0</v>
      </c>
      <c r="N2494" s="26">
        <v>0</v>
      </c>
      <c r="P2494" s="214">
        <v>2214</v>
      </c>
      <c r="Q2494" s="215">
        <v>30</v>
      </c>
      <c r="R2494" s="216" t="s">
        <v>1762</v>
      </c>
      <c r="S2494" s="217" t="s">
        <v>1763</v>
      </c>
      <c r="T2494" s="218">
        <v>0</v>
      </c>
      <c r="U2494" s="218">
        <v>0</v>
      </c>
      <c r="V2494" s="219">
        <v>0</v>
      </c>
      <c r="W2494" s="219">
        <v>0</v>
      </c>
    </row>
    <row r="2495" spans="3:23" ht="15" customHeight="1">
      <c r="C2495" s="3">
        <v>30</v>
      </c>
      <c r="D2495" s="15" t="s">
        <v>1764</v>
      </c>
      <c r="E2495" s="312" t="s">
        <v>2562</v>
      </c>
      <c r="G2495" s="26">
        <v>0</v>
      </c>
      <c r="H2495" s="26">
        <v>0</v>
      </c>
      <c r="I2495" s="26">
        <v>13154</v>
      </c>
      <c r="J2495" s="26">
        <v>5693</v>
      </c>
      <c r="K2495" s="26">
        <v>5350</v>
      </c>
      <c r="L2495" s="26">
        <v>78623</v>
      </c>
      <c r="M2495" s="26">
        <v>131122.6</v>
      </c>
      <c r="N2495" s="26">
        <v>30000</v>
      </c>
      <c r="P2495" s="214">
        <v>2215</v>
      </c>
      <c r="Q2495" s="215">
        <v>30</v>
      </c>
      <c r="R2495" s="216" t="s">
        <v>1764</v>
      </c>
      <c r="S2495" s="217" t="s">
        <v>2562</v>
      </c>
      <c r="T2495" s="218">
        <v>5350</v>
      </c>
      <c r="U2495" s="218">
        <v>0</v>
      </c>
      <c r="V2495" s="219">
        <v>78622.600000000006</v>
      </c>
      <c r="W2495" s="219">
        <v>469.58</v>
      </c>
    </row>
    <row r="2496" spans="3:23" ht="15" customHeight="1">
      <c r="C2496" s="3">
        <v>30</v>
      </c>
      <c r="D2496" s="15" t="s">
        <v>1765</v>
      </c>
      <c r="E2496" s="312" t="s">
        <v>1766</v>
      </c>
      <c r="G2496" s="26">
        <v>0</v>
      </c>
      <c r="H2496" s="26">
        <v>0</v>
      </c>
      <c r="I2496" s="26">
        <v>0</v>
      </c>
      <c r="J2496" s="26">
        <v>5000</v>
      </c>
      <c r="K2496" s="26">
        <v>45000</v>
      </c>
      <c r="L2496" s="26">
        <v>0</v>
      </c>
      <c r="M2496" s="26">
        <v>45000</v>
      </c>
      <c r="N2496" s="26">
        <v>0</v>
      </c>
      <c r="P2496" s="214">
        <v>2216</v>
      </c>
      <c r="Q2496" s="215">
        <v>30</v>
      </c>
      <c r="R2496" s="216" t="s">
        <v>1765</v>
      </c>
      <c r="S2496" s="217" t="s">
        <v>1766</v>
      </c>
      <c r="T2496" s="218">
        <v>45000</v>
      </c>
      <c r="U2496" s="218">
        <v>0</v>
      </c>
      <c r="V2496" s="219">
        <v>0</v>
      </c>
      <c r="W2496" s="219">
        <v>0</v>
      </c>
    </row>
    <row r="2497" spans="1:23" ht="15" customHeight="1">
      <c r="C2497" s="3">
        <v>30</v>
      </c>
      <c r="D2497" s="15" t="s">
        <v>1767</v>
      </c>
      <c r="E2497" s="312" t="s">
        <v>1768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P2497" s="214">
        <v>2217</v>
      </c>
      <c r="Q2497" s="215">
        <v>30</v>
      </c>
      <c r="R2497" s="216" t="s">
        <v>1767</v>
      </c>
      <c r="S2497" s="217" t="s">
        <v>1768</v>
      </c>
      <c r="T2497" s="218">
        <v>0</v>
      </c>
      <c r="U2497" s="218">
        <v>0</v>
      </c>
      <c r="V2497" s="219">
        <v>0</v>
      </c>
      <c r="W2497" s="219">
        <v>0</v>
      </c>
    </row>
    <row r="2498" spans="1:23" ht="15" customHeight="1">
      <c r="C2498" s="3">
        <v>30</v>
      </c>
      <c r="D2498" s="15" t="s">
        <v>1769</v>
      </c>
      <c r="E2498" s="312" t="s">
        <v>1770</v>
      </c>
      <c r="G2498" s="26">
        <v>0</v>
      </c>
      <c r="H2498" s="26">
        <v>0</v>
      </c>
      <c r="I2498" s="26">
        <v>0</v>
      </c>
      <c r="J2498" s="26">
        <v>0</v>
      </c>
      <c r="K2498" s="26">
        <v>7000</v>
      </c>
      <c r="L2498" s="26">
        <v>0</v>
      </c>
      <c r="M2498" s="26">
        <v>0</v>
      </c>
      <c r="N2498" s="26">
        <v>0</v>
      </c>
      <c r="P2498" s="214">
        <v>2218</v>
      </c>
      <c r="Q2498" s="215">
        <v>30</v>
      </c>
      <c r="R2498" s="216" t="s">
        <v>1769</v>
      </c>
      <c r="S2498" s="217" t="s">
        <v>1770</v>
      </c>
      <c r="T2498" s="218">
        <v>7000</v>
      </c>
      <c r="U2498" s="218">
        <v>0</v>
      </c>
      <c r="V2498" s="219">
        <v>0</v>
      </c>
      <c r="W2498" s="219">
        <v>0</v>
      </c>
    </row>
    <row r="2499" spans="1:23" ht="15" customHeight="1">
      <c r="C2499" s="3">
        <v>30</v>
      </c>
      <c r="D2499" s="15" t="s">
        <v>2635</v>
      </c>
      <c r="E2499" s="315" t="s">
        <v>2636</v>
      </c>
      <c r="G2499" s="26"/>
      <c r="H2499" s="26"/>
      <c r="I2499" s="26"/>
      <c r="J2499" s="26">
        <v>0</v>
      </c>
      <c r="K2499" s="26">
        <v>0</v>
      </c>
      <c r="L2499" s="26"/>
      <c r="M2499" s="26">
        <v>0</v>
      </c>
      <c r="N2499" s="26">
        <v>0</v>
      </c>
      <c r="P2499" s="214">
        <v>2219</v>
      </c>
      <c r="Q2499" s="215">
        <v>30</v>
      </c>
      <c r="R2499" s="216" t="s">
        <v>2635</v>
      </c>
      <c r="S2499" s="217" t="s">
        <v>2636</v>
      </c>
      <c r="T2499" s="218">
        <v>0</v>
      </c>
      <c r="U2499" s="218">
        <v>0</v>
      </c>
      <c r="V2499" s="219">
        <v>0</v>
      </c>
      <c r="W2499" s="219">
        <v>0</v>
      </c>
    </row>
    <row r="2500" spans="1:23" ht="15" customHeight="1">
      <c r="C2500" s="3">
        <v>30</v>
      </c>
      <c r="G2500" s="26"/>
      <c r="H2500" s="26"/>
      <c r="I2500" s="26"/>
      <c r="J2500" s="26"/>
      <c r="K2500" s="26"/>
      <c r="L2500" s="26"/>
      <c r="M2500" s="26"/>
      <c r="N2500" s="26"/>
      <c r="P2500" s="214">
        <v>2220</v>
      </c>
      <c r="Q2500" s="215">
        <v>30</v>
      </c>
      <c r="R2500" s="216" t="s">
        <v>2623</v>
      </c>
      <c r="S2500" s="217"/>
      <c r="T2500" s="218"/>
      <c r="U2500" s="218"/>
      <c r="V2500" s="219"/>
      <c r="W2500" s="219"/>
    </row>
    <row r="2501" spans="1:23" s="22" customFormat="1" ht="15" customHeight="1">
      <c r="A2501" s="2" t="s">
        <v>135</v>
      </c>
      <c r="B2501" s="2" t="s">
        <v>2317</v>
      </c>
      <c r="C2501" s="3">
        <v>30</v>
      </c>
      <c r="D2501" s="323" t="s">
        <v>1970</v>
      </c>
      <c r="E2501" s="323"/>
      <c r="F2501" s="324"/>
      <c r="G2501" s="325">
        <f>SUM(G2439:G2500)</f>
        <v>185163</v>
      </c>
      <c r="H2501" s="325">
        <f t="shared" ref="H2501:N2501" si="214">SUM(H2439:H2500)</f>
        <v>228986</v>
      </c>
      <c r="I2501" s="325">
        <f t="shared" si="214"/>
        <v>198016</v>
      </c>
      <c r="J2501" s="325">
        <f t="shared" si="214"/>
        <v>212374</v>
      </c>
      <c r="K2501" s="325">
        <f t="shared" si="214"/>
        <v>307500</v>
      </c>
      <c r="L2501" s="325">
        <f t="shared" si="214"/>
        <v>228379</v>
      </c>
      <c r="M2501" s="325">
        <f t="shared" si="214"/>
        <v>416835.62</v>
      </c>
      <c r="N2501" s="325">
        <f t="shared" si="214"/>
        <v>285000</v>
      </c>
      <c r="O2501" s="18"/>
      <c r="P2501" s="214">
        <v>2221</v>
      </c>
      <c r="Q2501" s="215">
        <v>30</v>
      </c>
      <c r="R2501" s="216" t="s">
        <v>135</v>
      </c>
      <c r="S2501" s="217"/>
      <c r="T2501" s="218">
        <v>307500</v>
      </c>
      <c r="U2501" s="218">
        <v>16178.25</v>
      </c>
      <c r="V2501" s="219">
        <v>244556.48</v>
      </c>
      <c r="W2501" s="219">
        <v>0</v>
      </c>
    </row>
    <row r="2502" spans="1:23" ht="15" customHeight="1">
      <c r="C2502" s="3">
        <v>30</v>
      </c>
      <c r="G2502" s="26"/>
      <c r="H2502" s="26"/>
      <c r="I2502" s="26"/>
      <c r="J2502" s="26"/>
      <c r="K2502" s="26"/>
      <c r="L2502" s="26"/>
      <c r="M2502" s="26"/>
      <c r="N2502" s="26"/>
      <c r="P2502" s="214">
        <v>2222</v>
      </c>
      <c r="Q2502" s="215">
        <v>30</v>
      </c>
      <c r="R2502" s="216" t="s">
        <v>2623</v>
      </c>
      <c r="S2502" s="217"/>
      <c r="T2502" s="218"/>
      <c r="U2502" s="218"/>
      <c r="V2502" s="219"/>
      <c r="W2502" s="219"/>
    </row>
    <row r="2503" spans="1:23" s="53" customFormat="1" ht="15" customHeight="1">
      <c r="B2503" s="53" t="s">
        <v>2318</v>
      </c>
      <c r="C2503" s="3">
        <v>30</v>
      </c>
      <c r="D2503" s="323" t="s">
        <v>1667</v>
      </c>
      <c r="E2503" s="337"/>
      <c r="F2503" s="338"/>
      <c r="G2503" s="322">
        <f>+G2501</f>
        <v>185163</v>
      </c>
      <c r="H2503" s="322">
        <f t="shared" ref="H2503:N2503" si="215">+H2501</f>
        <v>228986</v>
      </c>
      <c r="I2503" s="322">
        <f t="shared" si="215"/>
        <v>198016</v>
      </c>
      <c r="J2503" s="322">
        <f t="shared" si="215"/>
        <v>212374</v>
      </c>
      <c r="K2503" s="322">
        <f t="shared" si="215"/>
        <v>307500</v>
      </c>
      <c r="L2503" s="322">
        <f t="shared" si="215"/>
        <v>228379</v>
      </c>
      <c r="M2503" s="322">
        <f t="shared" si="215"/>
        <v>416835.62</v>
      </c>
      <c r="N2503" s="322">
        <f t="shared" si="215"/>
        <v>285000</v>
      </c>
      <c r="O2503" s="40"/>
      <c r="P2503" s="214">
        <v>2223</v>
      </c>
      <c r="Q2503" s="215">
        <v>30</v>
      </c>
      <c r="R2503" s="216" t="s">
        <v>1667</v>
      </c>
      <c r="S2503" s="217"/>
      <c r="T2503" s="218">
        <v>307500</v>
      </c>
      <c r="U2503" s="218">
        <v>16178.25</v>
      </c>
      <c r="V2503" s="219">
        <v>244556.48</v>
      </c>
      <c r="W2503" s="219">
        <v>79.53</v>
      </c>
    </row>
    <row r="2504" spans="1:23" ht="15" customHeight="1">
      <c r="C2504" s="3">
        <v>30</v>
      </c>
      <c r="D2504" s="47"/>
      <c r="G2504" s="26"/>
      <c r="H2504" s="26"/>
      <c r="I2504" s="26"/>
      <c r="J2504" s="26"/>
      <c r="K2504" s="26"/>
      <c r="L2504" s="26"/>
      <c r="M2504" s="26"/>
      <c r="N2504" s="26"/>
      <c r="P2504" s="223"/>
      <c r="Q2504" s="223"/>
      <c r="R2504" s="223"/>
      <c r="S2504" s="223"/>
      <c r="T2504" s="223"/>
      <c r="U2504" s="223"/>
      <c r="V2504" s="223"/>
      <c r="W2504" s="223"/>
    </row>
    <row r="2505" spans="1:23" s="31" customFormat="1" ht="15" customHeight="1">
      <c r="A2505" s="2"/>
      <c r="B2505" s="2" t="s">
        <v>2317</v>
      </c>
      <c r="C2505" s="3">
        <v>30</v>
      </c>
      <c r="D2505" s="54" t="s">
        <v>2271</v>
      </c>
      <c r="E2505" s="54"/>
      <c r="F2505" s="192"/>
      <c r="G2505" s="339">
        <f>+G2503</f>
        <v>185163</v>
      </c>
      <c r="H2505" s="339">
        <f t="shared" ref="H2505:N2505" si="216">+H2503</f>
        <v>228986</v>
      </c>
      <c r="I2505" s="339">
        <f t="shared" si="216"/>
        <v>198016</v>
      </c>
      <c r="J2505" s="339">
        <f t="shared" si="216"/>
        <v>212374</v>
      </c>
      <c r="K2505" s="339">
        <f t="shared" si="216"/>
        <v>307500</v>
      </c>
      <c r="L2505" s="339">
        <f t="shared" si="216"/>
        <v>228379</v>
      </c>
      <c r="M2505" s="339">
        <f t="shared" si="216"/>
        <v>416835.62</v>
      </c>
      <c r="N2505" s="339">
        <f t="shared" si="216"/>
        <v>285000</v>
      </c>
      <c r="O2505" s="32"/>
      <c r="P2505" s="214">
        <v>2224</v>
      </c>
      <c r="Q2505" s="215">
        <v>30</v>
      </c>
      <c r="R2505" s="216" t="s">
        <v>2618</v>
      </c>
      <c r="S2505" s="217"/>
      <c r="T2505" s="218">
        <v>307500</v>
      </c>
      <c r="U2505" s="218">
        <v>16178.25</v>
      </c>
      <c r="V2505" s="219">
        <v>244556.48</v>
      </c>
      <c r="W2505" s="219">
        <v>79.53</v>
      </c>
    </row>
    <row r="2506" spans="1:23" s="46" customFormat="1" ht="15" customHeight="1">
      <c r="A2506" s="5"/>
      <c r="B2506" s="5"/>
      <c r="C2506" s="3">
        <v>30</v>
      </c>
      <c r="D2506" s="47"/>
      <c r="E2506" s="47"/>
      <c r="F2506" s="191"/>
      <c r="G2506" s="56"/>
      <c r="H2506" s="56"/>
      <c r="I2506" s="56"/>
      <c r="J2506" s="56"/>
      <c r="K2506" s="56"/>
      <c r="L2506" s="56"/>
      <c r="M2506" s="56"/>
      <c r="N2506" s="56"/>
      <c r="O2506" s="47"/>
      <c r="P2506" s="221"/>
      <c r="Q2506" s="221"/>
      <c r="R2506" s="221"/>
      <c r="S2506" s="221"/>
      <c r="T2506" s="221"/>
      <c r="U2506" s="221"/>
      <c r="V2506" s="221"/>
      <c r="W2506" s="221"/>
    </row>
    <row r="2507" spans="1:23" s="33" customFormat="1" ht="15" customHeight="1" thickBot="1">
      <c r="A2507" s="2"/>
      <c r="B2507" s="2" t="s">
        <v>2317</v>
      </c>
      <c r="C2507" s="3">
        <v>30</v>
      </c>
      <c r="D2507" s="329" t="s">
        <v>2245</v>
      </c>
      <c r="E2507" s="329"/>
      <c r="F2507" s="330"/>
      <c r="G2507" s="336">
        <f t="shared" ref="G2507:N2507" si="217">+G2437-G2505</f>
        <v>69602</v>
      </c>
      <c r="H2507" s="336">
        <f t="shared" si="217"/>
        <v>-62813</v>
      </c>
      <c r="I2507" s="336">
        <f t="shared" si="217"/>
        <v>213754</v>
      </c>
      <c r="J2507" s="336">
        <f t="shared" si="217"/>
        <v>11486</v>
      </c>
      <c r="K2507" s="336">
        <f t="shared" si="217"/>
        <v>-22500</v>
      </c>
      <c r="L2507" s="336">
        <f t="shared" si="217"/>
        <v>-84743</v>
      </c>
      <c r="M2507" s="336">
        <f t="shared" si="217"/>
        <v>-142608.21500000003</v>
      </c>
      <c r="N2507" s="336">
        <f t="shared" si="217"/>
        <v>0</v>
      </c>
      <c r="O2507" s="34"/>
      <c r="P2507" s="214">
        <v>2225</v>
      </c>
      <c r="Q2507" s="215">
        <v>30</v>
      </c>
      <c r="R2507" s="216" t="s">
        <v>2619</v>
      </c>
      <c r="S2507" s="217"/>
      <c r="T2507" s="218">
        <v>-22500</v>
      </c>
      <c r="U2507" s="218">
        <v>13421.74</v>
      </c>
      <c r="V2507" s="219">
        <v>-71320.639999999999</v>
      </c>
      <c r="W2507" s="219">
        <v>0</v>
      </c>
    </row>
    <row r="2508" spans="1:23" s="46" customFormat="1" ht="15" customHeight="1" thickTop="1">
      <c r="A2508" s="5"/>
      <c r="B2508" s="5"/>
      <c r="C2508" s="3">
        <v>30</v>
      </c>
      <c r="D2508" s="47"/>
      <c r="E2508" s="47"/>
      <c r="F2508" s="191"/>
      <c r="G2508" s="56"/>
      <c r="H2508" s="56"/>
      <c r="I2508" s="56"/>
      <c r="J2508" s="56"/>
      <c r="K2508" s="56"/>
      <c r="L2508" s="56"/>
      <c r="M2508" s="56"/>
      <c r="N2508" s="56"/>
      <c r="O2508" s="47"/>
      <c r="P2508" s="221"/>
      <c r="Q2508" s="221"/>
      <c r="R2508" s="221"/>
      <c r="S2508" s="221"/>
      <c r="T2508" s="221"/>
      <c r="U2508" s="221"/>
      <c r="V2508" s="221"/>
      <c r="W2508" s="221"/>
    </row>
    <row r="2509" spans="1:23" ht="15" customHeight="1">
      <c r="C2509" s="3">
        <v>30</v>
      </c>
      <c r="D2509" s="54" t="s">
        <v>2875</v>
      </c>
      <c r="E2509" s="54"/>
      <c r="F2509" s="192"/>
      <c r="G2509" s="55"/>
      <c r="H2509" s="55"/>
      <c r="I2509" s="55"/>
      <c r="J2509" s="55"/>
      <c r="K2509" s="55">
        <f>+K2431</f>
        <v>206129.77000000002</v>
      </c>
      <c r="L2509" s="55"/>
      <c r="M2509" s="55">
        <f>+M2431</f>
        <v>86021.554999999935</v>
      </c>
      <c r="N2509" s="55">
        <f>+N2431</f>
        <v>86021.554999999935</v>
      </c>
      <c r="O2509" s="253">
        <f>+O2479</f>
        <v>0</v>
      </c>
      <c r="P2509" s="203"/>
      <c r="Q2509" s="204"/>
      <c r="R2509" s="205"/>
      <c r="S2509" s="206"/>
      <c r="T2509" s="207"/>
      <c r="U2509" s="207"/>
      <c r="V2509" s="208"/>
      <c r="W2509" s="212"/>
    </row>
    <row r="2510" spans="1:23" s="46" customFormat="1" ht="15" customHeight="1">
      <c r="A2510" s="195"/>
      <c r="B2510" s="195"/>
      <c r="C2510" s="3">
        <v>30</v>
      </c>
      <c r="D2510" s="47"/>
      <c r="E2510" s="47"/>
      <c r="F2510" s="191"/>
      <c r="G2510" s="56"/>
      <c r="H2510" s="56"/>
      <c r="I2510" s="56"/>
      <c r="J2510" s="56"/>
      <c r="K2510" s="56"/>
      <c r="L2510" s="56"/>
      <c r="M2510" s="56"/>
      <c r="N2510" s="56"/>
      <c r="O2510" s="47"/>
      <c r="P2510" s="221"/>
      <c r="Q2510" s="221"/>
      <c r="R2510" s="221"/>
      <c r="S2510" s="221"/>
      <c r="T2510" s="221"/>
      <c r="U2510" s="221"/>
      <c r="V2510" s="221"/>
      <c r="W2510" s="221"/>
    </row>
    <row r="2511" spans="1:23" s="35" customFormat="1" ht="15" customHeight="1">
      <c r="A2511" s="2"/>
      <c r="B2511" s="2"/>
      <c r="C2511" s="3">
        <v>30</v>
      </c>
      <c r="D2511" s="47" t="s">
        <v>1976</v>
      </c>
      <c r="E2511" s="47"/>
      <c r="F2511" s="191"/>
      <c r="G2511" s="48"/>
      <c r="H2511" s="48"/>
      <c r="I2511" s="48"/>
      <c r="J2511" s="48"/>
      <c r="K2511" s="48"/>
      <c r="L2511" s="48"/>
      <c r="M2511" s="48"/>
      <c r="N2511" s="48"/>
      <c r="O2511" s="16"/>
      <c r="P2511" s="214">
        <v>2226</v>
      </c>
      <c r="Q2511" s="215">
        <v>30</v>
      </c>
      <c r="R2511" s="216" t="s">
        <v>2630</v>
      </c>
      <c r="S2511" s="217"/>
      <c r="T2511" s="218"/>
      <c r="U2511" s="218"/>
      <c r="V2511" s="219"/>
      <c r="W2511" s="219"/>
    </row>
    <row r="2512" spans="1:23" s="35" customFormat="1" ht="15" customHeight="1">
      <c r="A2512" s="2"/>
      <c r="B2512" s="2"/>
      <c r="C2512" s="3"/>
      <c r="D2512" s="47"/>
      <c r="E2512" s="47"/>
      <c r="F2512" s="191"/>
      <c r="G2512" s="48"/>
      <c r="H2512" s="48"/>
      <c r="I2512" s="48"/>
      <c r="J2512" s="48"/>
      <c r="K2512" s="48"/>
      <c r="L2512" s="48"/>
      <c r="M2512" s="48"/>
      <c r="N2512" s="48"/>
      <c r="O2512" s="16"/>
    </row>
    <row r="2513" spans="1:23" s="35" customFormat="1" ht="15" customHeight="1">
      <c r="A2513" s="2"/>
      <c r="B2513" s="2"/>
      <c r="C2513" s="3"/>
      <c r="D2513" s="47"/>
      <c r="E2513" s="47"/>
      <c r="F2513" s="191"/>
      <c r="G2513" s="48"/>
      <c r="H2513" s="48"/>
      <c r="I2513" s="48"/>
      <c r="J2513" s="48"/>
      <c r="K2513" s="48"/>
      <c r="L2513" s="48"/>
      <c r="M2513" s="48"/>
      <c r="N2513" s="48"/>
      <c r="O2513" s="16"/>
    </row>
    <row r="2514" spans="1:23" s="35" customFormat="1" ht="15" customHeight="1">
      <c r="A2514" s="2"/>
      <c r="B2514" s="2"/>
      <c r="C2514" s="3"/>
      <c r="D2514" s="47"/>
      <c r="E2514" s="47"/>
      <c r="F2514" s="191"/>
      <c r="G2514" s="48"/>
      <c r="H2514" s="48"/>
      <c r="I2514" s="48"/>
      <c r="J2514" s="48"/>
      <c r="K2514" s="48"/>
      <c r="L2514" s="48"/>
      <c r="M2514" s="48"/>
      <c r="N2514" s="48"/>
      <c r="O2514" s="16"/>
    </row>
    <row r="2515" spans="1:23" s="35" customFormat="1" ht="15" customHeight="1">
      <c r="A2515" s="2"/>
      <c r="B2515" s="2"/>
      <c r="C2515" s="3">
        <v>40</v>
      </c>
      <c r="D2515" s="47" t="s">
        <v>2383</v>
      </c>
      <c r="E2515" s="47"/>
      <c r="F2515" s="191"/>
      <c r="G2515" s="48"/>
      <c r="H2515" s="48"/>
      <c r="I2515" s="48"/>
      <c r="J2515" s="48"/>
      <c r="K2515" s="48"/>
      <c r="L2515" s="48"/>
      <c r="M2515" s="48"/>
      <c r="N2515" s="48"/>
      <c r="O2515" s="16"/>
    </row>
    <row r="2516" spans="1:23" s="35" customFormat="1" ht="15" customHeight="1">
      <c r="A2516" s="2"/>
      <c r="B2516" s="2"/>
      <c r="C2516" s="3">
        <v>40</v>
      </c>
      <c r="D2516" s="47"/>
      <c r="E2516" s="47"/>
      <c r="F2516" s="191"/>
      <c r="G2516" s="48"/>
      <c r="H2516" s="48"/>
      <c r="I2516" s="48"/>
      <c r="J2516" s="48"/>
      <c r="K2516" s="48"/>
      <c r="L2516" s="48"/>
      <c r="M2516" s="48"/>
      <c r="N2516" s="48"/>
      <c r="O2516" s="16"/>
    </row>
    <row r="2517" spans="1:23" ht="15" customHeight="1">
      <c r="C2517" s="3">
        <v>40</v>
      </c>
      <c r="D2517" s="54" t="s">
        <v>2874</v>
      </c>
      <c r="E2517" s="54"/>
      <c r="F2517" s="192"/>
      <c r="G2517" s="55"/>
      <c r="H2517" s="55"/>
      <c r="I2517" s="55"/>
      <c r="J2517" s="55"/>
      <c r="K2517" s="55"/>
      <c r="L2517" s="55"/>
      <c r="M2517" s="55"/>
      <c r="N2517" s="55">
        <f>+M2536</f>
        <v>0</v>
      </c>
      <c r="O2517" s="278"/>
      <c r="P2517" s="203"/>
      <c r="Q2517" s="204"/>
      <c r="R2517" s="205"/>
      <c r="S2517" s="206"/>
      <c r="T2517" s="207"/>
      <c r="U2517" s="207"/>
      <c r="V2517" s="208"/>
      <c r="W2517" s="212"/>
    </row>
    <row r="2518" spans="1:23" s="35" customFormat="1" ht="15" customHeight="1">
      <c r="A2518" s="2"/>
      <c r="B2518" s="2"/>
      <c r="C2518" s="3">
        <v>40</v>
      </c>
      <c r="D2518" s="47"/>
      <c r="E2518" s="47"/>
      <c r="F2518" s="191"/>
      <c r="G2518" s="48"/>
      <c r="H2518" s="48"/>
      <c r="I2518" s="48"/>
      <c r="J2518" s="48"/>
      <c r="K2518" s="48"/>
      <c r="L2518" s="48"/>
      <c r="M2518" s="48"/>
      <c r="N2518" s="48"/>
      <c r="O2518" s="16"/>
    </row>
    <row r="2519" spans="1:23" ht="15" customHeight="1">
      <c r="C2519" s="3">
        <v>40</v>
      </c>
      <c r="D2519" s="47" t="s">
        <v>2370</v>
      </c>
      <c r="G2519" s="26"/>
      <c r="H2519" s="26"/>
      <c r="I2519" s="26"/>
      <c r="J2519" s="26"/>
      <c r="K2519" s="26"/>
      <c r="L2519" s="26"/>
      <c r="M2519" s="26"/>
      <c r="N2519" s="26"/>
      <c r="P2519" s="214">
        <v>2227</v>
      </c>
      <c r="Q2519" s="215">
        <v>40</v>
      </c>
      <c r="R2519" s="216" t="s">
        <v>2610</v>
      </c>
      <c r="S2519" s="217"/>
      <c r="T2519" s="218"/>
      <c r="U2519" s="218"/>
      <c r="V2519" s="219"/>
      <c r="W2519" s="219"/>
    </row>
    <row r="2520" spans="1:23" ht="15" customHeight="1">
      <c r="C2520" s="3">
        <v>40</v>
      </c>
      <c r="G2520" s="26"/>
      <c r="H2520" s="26"/>
      <c r="I2520" s="26"/>
      <c r="J2520" s="26"/>
      <c r="K2520" s="26"/>
      <c r="L2520" s="26"/>
      <c r="M2520" s="26"/>
      <c r="N2520" s="26"/>
      <c r="P2520" s="214">
        <v>2228</v>
      </c>
      <c r="Q2520" s="215">
        <v>40</v>
      </c>
      <c r="R2520" s="216" t="s">
        <v>2611</v>
      </c>
      <c r="S2520" s="217"/>
      <c r="T2520" s="218"/>
      <c r="U2520" s="218"/>
      <c r="V2520" s="219"/>
      <c r="W2520" s="219"/>
    </row>
    <row r="2521" spans="1:23" s="21" customFormat="1" ht="15" customHeight="1">
      <c r="A2521" s="2"/>
      <c r="B2521" s="2" t="s">
        <v>2318</v>
      </c>
      <c r="C2521" s="3">
        <v>40</v>
      </c>
      <c r="D2521" s="54" t="s">
        <v>2371</v>
      </c>
      <c r="E2521" s="54"/>
      <c r="F2521" s="192"/>
      <c r="G2521" s="55">
        <f>+G2523</f>
        <v>0</v>
      </c>
      <c r="H2521" s="55">
        <f t="shared" ref="H2521:N2521" si="218">+H2523</f>
        <v>0</v>
      </c>
      <c r="I2521" s="55">
        <f t="shared" si="218"/>
        <v>80130</v>
      </c>
      <c r="J2521" s="55">
        <f t="shared" si="218"/>
        <v>192429</v>
      </c>
      <c r="K2521" s="55">
        <f t="shared" si="218"/>
        <v>0</v>
      </c>
      <c r="L2521" s="55">
        <f t="shared" si="218"/>
        <v>15434</v>
      </c>
      <c r="M2521" s="55">
        <f t="shared" si="218"/>
        <v>0</v>
      </c>
      <c r="N2521" s="55">
        <f t="shared" si="218"/>
        <v>0</v>
      </c>
      <c r="O2521" s="17"/>
      <c r="P2521" s="214">
        <v>2229</v>
      </c>
      <c r="Q2521" s="215">
        <v>40</v>
      </c>
      <c r="R2521" s="216" t="s">
        <v>2612</v>
      </c>
      <c r="S2521" s="217"/>
      <c r="T2521" s="218">
        <v>0</v>
      </c>
      <c r="U2521" s="218">
        <v>0</v>
      </c>
      <c r="V2521" s="219">
        <v>15433.44</v>
      </c>
      <c r="W2521" s="219">
        <v>0</v>
      </c>
    </row>
    <row r="2522" spans="1:23" s="57" customFormat="1" ht="15" customHeight="1">
      <c r="A2522" s="5"/>
      <c r="B2522" s="5"/>
      <c r="C2522" s="3">
        <v>40</v>
      </c>
      <c r="D2522" s="54"/>
      <c r="E2522" s="54"/>
      <c r="F2522" s="192"/>
      <c r="G2522" s="55"/>
      <c r="H2522" s="55"/>
      <c r="I2522" s="55"/>
      <c r="J2522" s="55"/>
      <c r="K2522" s="55"/>
      <c r="L2522" s="55"/>
      <c r="M2522" s="55"/>
      <c r="N2522" s="55"/>
      <c r="O2522" s="54"/>
      <c r="P2522" s="220"/>
      <c r="Q2522" s="220"/>
      <c r="R2522" s="220"/>
      <c r="S2522" s="220"/>
      <c r="T2522" s="220"/>
      <c r="U2522" s="220"/>
      <c r="V2522" s="220"/>
      <c r="W2522" s="220"/>
    </row>
    <row r="2523" spans="1:23" s="27" customFormat="1" ht="15" customHeight="1" thickBot="1">
      <c r="A2523" s="2"/>
      <c r="B2523" s="2" t="s">
        <v>2318</v>
      </c>
      <c r="C2523" s="3">
        <v>40</v>
      </c>
      <c r="D2523" s="68" t="str">
        <f>+D2558</f>
        <v>*** TOTAL FUND 40 GRANTS REVENUES ***</v>
      </c>
      <c r="E2523" s="68"/>
      <c r="F2523" s="68">
        <f>+F2558</f>
        <v>0</v>
      </c>
      <c r="G2523" s="69">
        <f>+G2558</f>
        <v>0</v>
      </c>
      <c r="H2523" s="69">
        <f t="shared" ref="H2523:N2523" si="219">+H2558</f>
        <v>0</v>
      </c>
      <c r="I2523" s="69">
        <f t="shared" si="219"/>
        <v>80130</v>
      </c>
      <c r="J2523" s="69">
        <f t="shared" si="219"/>
        <v>192429</v>
      </c>
      <c r="K2523" s="69">
        <f t="shared" si="219"/>
        <v>0</v>
      </c>
      <c r="L2523" s="69">
        <f t="shared" si="219"/>
        <v>15434</v>
      </c>
      <c r="M2523" s="69">
        <f t="shared" si="219"/>
        <v>0</v>
      </c>
      <c r="N2523" s="69">
        <f t="shared" si="219"/>
        <v>0</v>
      </c>
      <c r="O2523" s="28"/>
      <c r="P2523" s="214">
        <v>2230</v>
      </c>
      <c r="Q2523" s="215">
        <v>40</v>
      </c>
      <c r="R2523" s="216" t="s">
        <v>2613</v>
      </c>
      <c r="S2523" s="217"/>
      <c r="T2523" s="218">
        <v>0</v>
      </c>
      <c r="U2523" s="218">
        <v>0</v>
      </c>
      <c r="V2523" s="219">
        <v>15433.44</v>
      </c>
      <c r="W2523" s="219">
        <v>0</v>
      </c>
    </row>
    <row r="2524" spans="1:23" s="46" customFormat="1" ht="15" customHeight="1" thickTop="1">
      <c r="A2524" s="5"/>
      <c r="B2524" s="5"/>
      <c r="C2524" s="3">
        <v>40</v>
      </c>
      <c r="D2524" s="47"/>
      <c r="E2524" s="47"/>
      <c r="F2524" s="47"/>
      <c r="G2524" s="56"/>
      <c r="H2524" s="56"/>
      <c r="I2524" s="56"/>
      <c r="J2524" s="56"/>
      <c r="K2524" s="56"/>
      <c r="L2524" s="56"/>
      <c r="M2524" s="56"/>
      <c r="N2524" s="56"/>
      <c r="O2524" s="47"/>
      <c r="P2524" s="221"/>
      <c r="Q2524" s="221"/>
      <c r="R2524" s="221"/>
      <c r="S2524" s="221"/>
      <c r="T2524" s="221"/>
      <c r="U2524" s="221"/>
      <c r="V2524" s="221"/>
      <c r="W2524" s="221"/>
    </row>
    <row r="2525" spans="1:23" ht="15" customHeight="1">
      <c r="C2525" s="3">
        <v>40</v>
      </c>
      <c r="D2525" s="47" t="s">
        <v>2372</v>
      </c>
      <c r="G2525" s="26"/>
      <c r="H2525" s="26"/>
      <c r="I2525" s="26"/>
      <c r="J2525" s="26"/>
      <c r="K2525" s="26"/>
      <c r="L2525" s="26"/>
      <c r="M2525" s="26"/>
      <c r="N2525" s="26"/>
      <c r="P2525" s="214">
        <v>2231</v>
      </c>
      <c r="Q2525" s="215">
        <v>40</v>
      </c>
      <c r="R2525" s="216" t="s">
        <v>2614</v>
      </c>
      <c r="S2525" s="217"/>
      <c r="T2525" s="218"/>
      <c r="U2525" s="218"/>
      <c r="V2525" s="219"/>
      <c r="W2525" s="219"/>
    </row>
    <row r="2526" spans="1:23" ht="15" customHeight="1">
      <c r="C2526" s="3">
        <v>40</v>
      </c>
      <c r="G2526" s="26"/>
      <c r="H2526" s="26"/>
      <c r="I2526" s="26"/>
      <c r="J2526" s="26"/>
      <c r="K2526" s="26"/>
      <c r="L2526" s="26"/>
      <c r="M2526" s="26"/>
      <c r="N2526" s="26"/>
      <c r="P2526" s="214">
        <v>2232</v>
      </c>
      <c r="Q2526" s="215">
        <v>40</v>
      </c>
      <c r="R2526" s="216" t="s">
        <v>2615</v>
      </c>
      <c r="S2526" s="217"/>
      <c r="T2526" s="218"/>
      <c r="U2526" s="218"/>
      <c r="V2526" s="219"/>
      <c r="W2526" s="219"/>
    </row>
    <row r="2527" spans="1:23" ht="15" customHeight="1">
      <c r="B2527" s="2" t="s">
        <v>2318</v>
      </c>
      <c r="C2527" s="3">
        <v>40</v>
      </c>
      <c r="D2527" s="54" t="s">
        <v>1986</v>
      </c>
      <c r="E2527" s="13"/>
      <c r="F2527" s="190"/>
      <c r="G2527" s="25">
        <f>+G2577</f>
        <v>0</v>
      </c>
      <c r="H2527" s="25">
        <f t="shared" ref="H2527:N2527" si="220">+H2577</f>
        <v>0</v>
      </c>
      <c r="I2527" s="25">
        <f t="shared" si="220"/>
        <v>52765</v>
      </c>
      <c r="J2527" s="25">
        <f t="shared" si="220"/>
        <v>70369</v>
      </c>
      <c r="K2527" s="25">
        <f t="shared" si="220"/>
        <v>0</v>
      </c>
      <c r="L2527" s="25">
        <f t="shared" si="220"/>
        <v>1000</v>
      </c>
      <c r="M2527" s="25">
        <f t="shared" si="220"/>
        <v>0</v>
      </c>
      <c r="N2527" s="25">
        <f t="shared" si="220"/>
        <v>0</v>
      </c>
      <c r="P2527" s="214">
        <v>2233</v>
      </c>
      <c r="Q2527" s="215">
        <v>40</v>
      </c>
      <c r="R2527" s="216" t="s">
        <v>8</v>
      </c>
      <c r="S2527" s="217"/>
      <c r="T2527" s="218">
        <v>0</v>
      </c>
      <c r="U2527" s="218">
        <v>0</v>
      </c>
      <c r="V2527" s="219">
        <v>1000</v>
      </c>
      <c r="W2527" s="219">
        <v>0</v>
      </c>
    </row>
    <row r="2528" spans="1:23" ht="15" customHeight="1">
      <c r="B2528" s="2" t="s">
        <v>2318</v>
      </c>
      <c r="C2528" s="3">
        <v>40</v>
      </c>
      <c r="D2528" s="47" t="s">
        <v>1987</v>
      </c>
      <c r="G2528" s="26">
        <f>+G2595</f>
        <v>0</v>
      </c>
      <c r="H2528" s="26">
        <f t="shared" ref="H2528:N2528" si="221">+H2595</f>
        <v>0</v>
      </c>
      <c r="I2528" s="26">
        <f t="shared" si="221"/>
        <v>18958</v>
      </c>
      <c r="J2528" s="26">
        <f t="shared" si="221"/>
        <v>55306</v>
      </c>
      <c r="K2528" s="26">
        <f t="shared" si="221"/>
        <v>0</v>
      </c>
      <c r="L2528" s="26">
        <f t="shared" si="221"/>
        <v>-13200</v>
      </c>
      <c r="M2528" s="26">
        <f t="shared" si="221"/>
        <v>0</v>
      </c>
      <c r="N2528" s="26">
        <f t="shared" si="221"/>
        <v>0</v>
      </c>
      <c r="P2528" s="214">
        <v>2234</v>
      </c>
      <c r="Q2528" s="215">
        <v>40</v>
      </c>
      <c r="R2528" s="216" t="s">
        <v>9</v>
      </c>
      <c r="S2528" s="217"/>
      <c r="T2528" s="218">
        <v>0</v>
      </c>
      <c r="U2528" s="218">
        <v>-380</v>
      </c>
      <c r="V2528" s="219">
        <v>-13580.36</v>
      </c>
      <c r="W2528" s="219">
        <v>0</v>
      </c>
    </row>
    <row r="2529" spans="1:23" ht="15" customHeight="1">
      <c r="B2529" s="2" t="s">
        <v>2318</v>
      </c>
      <c r="C2529" s="3">
        <v>40</v>
      </c>
      <c r="D2529" s="47" t="s">
        <v>1990</v>
      </c>
      <c r="G2529" s="26">
        <f>+G2606</f>
        <v>0</v>
      </c>
      <c r="H2529" s="26">
        <f t="shared" ref="H2529:N2529" si="222">+H2606</f>
        <v>0</v>
      </c>
      <c r="I2529" s="26">
        <f t="shared" si="222"/>
        <v>6506</v>
      </c>
      <c r="J2529" s="26">
        <f t="shared" si="222"/>
        <v>20374</v>
      </c>
      <c r="K2529" s="26">
        <f t="shared" si="222"/>
        <v>0</v>
      </c>
      <c r="L2529" s="26">
        <f t="shared" si="222"/>
        <v>9492</v>
      </c>
      <c r="M2529" s="26">
        <f t="shared" si="222"/>
        <v>0</v>
      </c>
      <c r="N2529" s="26">
        <f t="shared" si="222"/>
        <v>0</v>
      </c>
      <c r="P2529" s="214">
        <v>2235</v>
      </c>
      <c r="Q2529" s="215">
        <v>40</v>
      </c>
      <c r="R2529" s="216" t="s">
        <v>12</v>
      </c>
      <c r="S2529" s="217"/>
      <c r="T2529" s="218">
        <v>0</v>
      </c>
      <c r="U2529" s="218">
        <v>0</v>
      </c>
      <c r="V2529" s="219">
        <v>9492.27</v>
      </c>
      <c r="W2529" s="219">
        <v>0</v>
      </c>
    </row>
    <row r="2530" spans="1:23" ht="15" customHeight="1">
      <c r="B2530" s="2" t="s">
        <v>2318</v>
      </c>
      <c r="C2530" s="3">
        <v>40</v>
      </c>
      <c r="D2530" s="340" t="s">
        <v>1994</v>
      </c>
      <c r="E2530" s="333"/>
      <c r="F2530" s="341"/>
      <c r="G2530" s="334">
        <f>+G2617</f>
        <v>0</v>
      </c>
      <c r="H2530" s="334">
        <f t="shared" ref="H2530:N2530" si="223">+H2617</f>
        <v>0</v>
      </c>
      <c r="I2530" s="334">
        <f t="shared" si="223"/>
        <v>46380</v>
      </c>
      <c r="J2530" s="334">
        <f t="shared" si="223"/>
        <v>14076</v>
      </c>
      <c r="K2530" s="334">
        <f t="shared" si="223"/>
        <v>0</v>
      </c>
      <c r="L2530" s="334">
        <f t="shared" si="223"/>
        <v>8989</v>
      </c>
      <c r="M2530" s="334">
        <f t="shared" si="223"/>
        <v>0</v>
      </c>
      <c r="N2530" s="334">
        <f t="shared" si="223"/>
        <v>0</v>
      </c>
      <c r="P2530" s="214">
        <v>2236</v>
      </c>
      <c r="Q2530" s="215">
        <v>40</v>
      </c>
      <c r="R2530" s="216" t="s">
        <v>2617</v>
      </c>
      <c r="S2530" s="217"/>
      <c r="T2530" s="218">
        <v>0</v>
      </c>
      <c r="U2530" s="218">
        <v>0</v>
      </c>
      <c r="V2530" s="219">
        <v>8989.2800000000007</v>
      </c>
      <c r="W2530" s="219">
        <v>0</v>
      </c>
    </row>
    <row r="2531" spans="1:23" ht="15" customHeight="1">
      <c r="C2531" s="3">
        <v>40</v>
      </c>
      <c r="D2531" s="47"/>
      <c r="G2531" s="26"/>
      <c r="H2531" s="26"/>
      <c r="I2531" s="26"/>
      <c r="J2531" s="26"/>
      <c r="K2531" s="26"/>
      <c r="L2531" s="26"/>
      <c r="M2531" s="26"/>
      <c r="N2531" s="26"/>
      <c r="P2531" s="222"/>
      <c r="Q2531" s="222"/>
      <c r="R2531" s="222"/>
      <c r="S2531" s="223"/>
      <c r="T2531" s="223"/>
      <c r="U2531" s="223"/>
      <c r="V2531" s="224"/>
      <c r="W2531" s="224"/>
    </row>
    <row r="2532" spans="1:23" s="37" customFormat="1" ht="15" customHeight="1">
      <c r="A2532" s="2"/>
      <c r="B2532" s="2" t="s">
        <v>2318</v>
      </c>
      <c r="C2532" s="3">
        <v>40</v>
      </c>
      <c r="D2532" s="47" t="str">
        <f>+D2619</f>
        <v>*** TOTAL FUND 40 GRANTS EXPENSES ***</v>
      </c>
      <c r="E2532" s="47"/>
      <c r="F2532" s="47">
        <f t="shared" ref="F2532:N2532" si="224">+F2619</f>
        <v>0</v>
      </c>
      <c r="G2532" s="56">
        <f t="shared" si="224"/>
        <v>0</v>
      </c>
      <c r="H2532" s="56">
        <f t="shared" si="224"/>
        <v>0</v>
      </c>
      <c r="I2532" s="56">
        <f t="shared" si="224"/>
        <v>124609</v>
      </c>
      <c r="J2532" s="56">
        <f t="shared" si="224"/>
        <v>160125</v>
      </c>
      <c r="K2532" s="56">
        <f t="shared" si="224"/>
        <v>0</v>
      </c>
      <c r="L2532" s="56">
        <f t="shared" si="224"/>
        <v>6281</v>
      </c>
      <c r="M2532" s="56">
        <f t="shared" si="224"/>
        <v>0</v>
      </c>
      <c r="N2532" s="56">
        <f t="shared" si="224"/>
        <v>0</v>
      </c>
      <c r="O2532" s="38"/>
      <c r="P2532" s="214">
        <v>2237</v>
      </c>
      <c r="Q2532" s="215">
        <v>40</v>
      </c>
      <c r="R2532" s="216" t="s">
        <v>2618</v>
      </c>
      <c r="S2532" s="217"/>
      <c r="T2532" s="218">
        <v>0</v>
      </c>
      <c r="U2532" s="218">
        <v>-380</v>
      </c>
      <c r="V2532" s="219">
        <v>5901.19</v>
      </c>
      <c r="W2532" s="219">
        <v>0</v>
      </c>
    </row>
    <row r="2533" spans="1:23" s="46" customFormat="1" ht="15" customHeight="1">
      <c r="A2533" s="5"/>
      <c r="B2533" s="5"/>
      <c r="C2533" s="3">
        <v>40</v>
      </c>
      <c r="D2533" s="47"/>
      <c r="E2533" s="47"/>
      <c r="F2533" s="47"/>
      <c r="G2533" s="56"/>
      <c r="H2533" s="56"/>
      <c r="I2533" s="56"/>
      <c r="J2533" s="56"/>
      <c r="K2533" s="56"/>
      <c r="L2533" s="56"/>
      <c r="M2533" s="56"/>
      <c r="N2533" s="56"/>
      <c r="O2533" s="47"/>
      <c r="P2533" s="221"/>
      <c r="Q2533" s="221"/>
      <c r="R2533" s="221"/>
      <c r="S2533" s="221"/>
      <c r="T2533" s="221"/>
      <c r="U2533" s="221"/>
      <c r="V2533" s="221"/>
      <c r="W2533" s="221"/>
    </row>
    <row r="2534" spans="1:23" s="33" customFormat="1" ht="15" customHeight="1" thickBot="1">
      <c r="A2534" s="2"/>
      <c r="B2534" s="2" t="s">
        <v>2318</v>
      </c>
      <c r="C2534" s="3">
        <v>40</v>
      </c>
      <c r="D2534" s="335" t="str">
        <f>+D2621</f>
        <v>*** FUND 40 REVENUES OVER(UNDER) EXPENSES ***</v>
      </c>
      <c r="E2534" s="336"/>
      <c r="F2534" s="336">
        <f t="shared" ref="F2534:N2534" si="225">+F2621</f>
        <v>0</v>
      </c>
      <c r="G2534" s="336">
        <f t="shared" si="225"/>
        <v>0</v>
      </c>
      <c r="H2534" s="336">
        <f t="shared" si="225"/>
        <v>0</v>
      </c>
      <c r="I2534" s="336">
        <f t="shared" si="225"/>
        <v>-44479</v>
      </c>
      <c r="J2534" s="336">
        <f t="shared" si="225"/>
        <v>32304</v>
      </c>
      <c r="K2534" s="336">
        <f t="shared" si="225"/>
        <v>0</v>
      </c>
      <c r="L2534" s="336">
        <f t="shared" si="225"/>
        <v>9153</v>
      </c>
      <c r="M2534" s="336">
        <f t="shared" si="225"/>
        <v>0</v>
      </c>
      <c r="N2534" s="336">
        <f t="shared" si="225"/>
        <v>0</v>
      </c>
      <c r="O2534" s="34"/>
      <c r="P2534" s="214">
        <v>2238</v>
      </c>
      <c r="Q2534" s="215">
        <v>40</v>
      </c>
      <c r="R2534" s="216" t="s">
        <v>2619</v>
      </c>
      <c r="S2534" s="217"/>
      <c r="T2534" s="218">
        <v>0</v>
      </c>
      <c r="U2534" s="218">
        <v>380</v>
      </c>
      <c r="V2534" s="219">
        <v>9532.25</v>
      </c>
      <c r="W2534" s="219">
        <v>0</v>
      </c>
    </row>
    <row r="2535" spans="1:23" s="46" customFormat="1" ht="15" customHeight="1" thickTop="1">
      <c r="A2535" s="5"/>
      <c r="B2535" s="5"/>
      <c r="C2535" s="3">
        <v>40</v>
      </c>
      <c r="D2535" s="58"/>
      <c r="E2535" s="56"/>
      <c r="F2535" s="56"/>
      <c r="G2535" s="56"/>
      <c r="H2535" s="56"/>
      <c r="I2535" s="56"/>
      <c r="J2535" s="56"/>
      <c r="K2535" s="56"/>
      <c r="L2535" s="56"/>
      <c r="M2535" s="56"/>
      <c r="N2535" s="56"/>
      <c r="O2535" s="47"/>
      <c r="P2535" s="221"/>
      <c r="Q2535" s="221"/>
      <c r="R2535" s="221"/>
      <c r="S2535" s="221"/>
      <c r="T2535" s="221"/>
      <c r="U2535" s="221"/>
      <c r="V2535" s="221"/>
      <c r="W2535" s="221"/>
    </row>
    <row r="2536" spans="1:23" ht="15" customHeight="1">
      <c r="C2536" s="3">
        <v>40</v>
      </c>
      <c r="D2536" s="54" t="s">
        <v>2875</v>
      </c>
      <c r="E2536" s="54"/>
      <c r="F2536" s="192"/>
      <c r="G2536" s="55"/>
      <c r="H2536" s="55"/>
      <c r="I2536" s="55"/>
      <c r="J2536" s="55"/>
      <c r="K2536" s="55">
        <f>+K2517+K2523-K2532</f>
        <v>0</v>
      </c>
      <c r="L2536" s="55"/>
      <c r="M2536" s="55">
        <f>+M2517+M2523-M2532</f>
        <v>0</v>
      </c>
      <c r="N2536" s="55">
        <f>+N2517+N2523-N2532</f>
        <v>0</v>
      </c>
      <c r="O2536" s="253">
        <f>+O2513</f>
        <v>0</v>
      </c>
      <c r="P2536" s="203"/>
      <c r="Q2536" s="204"/>
      <c r="R2536" s="205"/>
      <c r="S2536" s="206"/>
      <c r="T2536" s="207"/>
      <c r="U2536" s="207"/>
      <c r="V2536" s="208"/>
      <c r="W2536" s="212"/>
    </row>
    <row r="2537" spans="1:23" s="46" customFormat="1" ht="15" customHeight="1">
      <c r="A2537" s="195"/>
      <c r="B2537" s="195"/>
      <c r="C2537" s="3">
        <v>40</v>
      </c>
      <c r="D2537" s="58"/>
      <c r="E2537" s="56"/>
      <c r="F2537" s="56"/>
      <c r="G2537" s="56"/>
      <c r="H2537" s="56"/>
      <c r="I2537" s="56"/>
      <c r="J2537" s="56"/>
      <c r="K2537" s="56"/>
      <c r="L2537" s="56"/>
      <c r="M2537" s="26"/>
      <c r="N2537" s="26"/>
      <c r="O2537" s="47"/>
      <c r="P2537" s="221"/>
      <c r="Q2537" s="221"/>
      <c r="R2537" s="221"/>
      <c r="S2537" s="221"/>
      <c r="T2537" s="221"/>
      <c r="U2537" s="221"/>
      <c r="V2537" s="221"/>
      <c r="W2537" s="221"/>
    </row>
    <row r="2538" spans="1:23" ht="15" customHeight="1">
      <c r="C2538" s="3">
        <v>40</v>
      </c>
      <c r="D2538" s="15">
        <v>4330</v>
      </c>
      <c r="E2538" s="312" t="s">
        <v>1669</v>
      </c>
      <c r="G2538" s="26">
        <v>0</v>
      </c>
      <c r="H2538" s="26">
        <v>0</v>
      </c>
      <c r="I2538" s="26">
        <v>0</v>
      </c>
      <c r="J2538" s="26">
        <v>0</v>
      </c>
      <c r="K2538" s="26">
        <v>0</v>
      </c>
      <c r="L2538" s="26">
        <v>0</v>
      </c>
      <c r="M2538" s="26">
        <v>0</v>
      </c>
      <c r="N2538" s="26">
        <v>0</v>
      </c>
      <c r="P2538" s="214">
        <v>2239</v>
      </c>
      <c r="Q2538" s="215">
        <v>40</v>
      </c>
      <c r="R2538" s="216">
        <v>4330</v>
      </c>
      <c r="S2538" s="217" t="s">
        <v>1669</v>
      </c>
      <c r="T2538" s="218">
        <v>0</v>
      </c>
      <c r="U2538" s="218">
        <v>0</v>
      </c>
      <c r="V2538" s="219">
        <v>0</v>
      </c>
      <c r="W2538" s="219">
        <v>0</v>
      </c>
    </row>
    <row r="2539" spans="1:23" ht="15" customHeight="1">
      <c r="C2539" s="3">
        <v>40</v>
      </c>
      <c r="D2539" s="15">
        <v>4990</v>
      </c>
      <c r="E2539" s="312" t="s">
        <v>70</v>
      </c>
      <c r="G2539" s="26">
        <v>0</v>
      </c>
      <c r="H2539" s="26">
        <v>0</v>
      </c>
      <c r="I2539" s="26">
        <v>0</v>
      </c>
      <c r="J2539" s="26">
        <v>-3550</v>
      </c>
      <c r="K2539" s="26">
        <v>0</v>
      </c>
      <c r="L2539" s="26">
        <v>0</v>
      </c>
      <c r="M2539" s="26">
        <v>0</v>
      </c>
      <c r="N2539" s="26">
        <v>0</v>
      </c>
      <c r="P2539" s="214">
        <v>2240</v>
      </c>
      <c r="Q2539" s="215">
        <v>40</v>
      </c>
      <c r="R2539" s="216">
        <v>4990</v>
      </c>
      <c r="S2539" s="217" t="s">
        <v>70</v>
      </c>
      <c r="T2539" s="218">
        <v>0</v>
      </c>
      <c r="U2539" s="218">
        <v>0</v>
      </c>
      <c r="V2539" s="219">
        <v>0</v>
      </c>
      <c r="W2539" s="219">
        <v>0</v>
      </c>
    </row>
    <row r="2540" spans="1:23" ht="15" customHeight="1">
      <c r="C2540" s="3">
        <v>40</v>
      </c>
      <c r="D2540" s="15" t="s">
        <v>1772</v>
      </c>
      <c r="E2540" s="312" t="s">
        <v>1773</v>
      </c>
      <c r="G2540" s="26">
        <v>0</v>
      </c>
      <c r="H2540" s="26">
        <v>0</v>
      </c>
      <c r="I2540" s="26">
        <v>0</v>
      </c>
      <c r="J2540" s="26">
        <v>1000</v>
      </c>
      <c r="K2540" s="26">
        <v>0</v>
      </c>
      <c r="L2540" s="26">
        <v>0</v>
      </c>
      <c r="M2540" s="26">
        <v>0</v>
      </c>
      <c r="N2540" s="26">
        <v>0</v>
      </c>
      <c r="P2540" s="214">
        <v>2241</v>
      </c>
      <c r="Q2540" s="215">
        <v>40</v>
      </c>
      <c r="R2540" s="216" t="s">
        <v>1772</v>
      </c>
      <c r="S2540" s="217" t="s">
        <v>1773</v>
      </c>
      <c r="T2540" s="218">
        <v>0</v>
      </c>
      <c r="U2540" s="218">
        <v>0</v>
      </c>
      <c r="V2540" s="219">
        <v>0</v>
      </c>
      <c r="W2540" s="219">
        <v>0</v>
      </c>
    </row>
    <row r="2541" spans="1:23" ht="15" customHeight="1">
      <c r="C2541" s="3">
        <v>40</v>
      </c>
      <c r="D2541" s="15" t="s">
        <v>1774</v>
      </c>
      <c r="E2541" s="312" t="s">
        <v>1775</v>
      </c>
      <c r="G2541" s="26">
        <v>0</v>
      </c>
      <c r="H2541" s="26">
        <v>0</v>
      </c>
      <c r="I2541" s="26">
        <v>0</v>
      </c>
      <c r="J2541" s="26">
        <v>1570</v>
      </c>
      <c r="K2541" s="26">
        <v>0</v>
      </c>
      <c r="L2541" s="26">
        <v>0</v>
      </c>
      <c r="M2541" s="26">
        <v>0</v>
      </c>
      <c r="N2541" s="26">
        <v>0</v>
      </c>
      <c r="P2541" s="214">
        <v>2242</v>
      </c>
      <c r="Q2541" s="215">
        <v>40</v>
      </c>
      <c r="R2541" s="216" t="s">
        <v>1774</v>
      </c>
      <c r="S2541" s="217" t="s">
        <v>1775</v>
      </c>
      <c r="T2541" s="218">
        <v>0</v>
      </c>
      <c r="U2541" s="218">
        <v>0</v>
      </c>
      <c r="V2541" s="219">
        <v>0</v>
      </c>
      <c r="W2541" s="219">
        <v>0</v>
      </c>
    </row>
    <row r="2542" spans="1:23" ht="15" customHeight="1">
      <c r="C2542" s="3">
        <v>40</v>
      </c>
      <c r="D2542" s="15" t="s">
        <v>2637</v>
      </c>
      <c r="E2542" s="315" t="s">
        <v>2638</v>
      </c>
      <c r="G2542" s="26"/>
      <c r="H2542" s="26"/>
      <c r="I2542" s="26"/>
      <c r="J2542" s="26"/>
      <c r="K2542" s="26"/>
      <c r="L2542" s="26"/>
      <c r="M2542" s="26">
        <v>0</v>
      </c>
      <c r="N2542" s="26">
        <v>0</v>
      </c>
      <c r="P2542" s="214">
        <v>2243</v>
      </c>
      <c r="Q2542" s="215">
        <v>40</v>
      </c>
      <c r="R2542" s="216" t="s">
        <v>2637</v>
      </c>
      <c r="S2542" s="217" t="s">
        <v>2638</v>
      </c>
      <c r="T2542" s="218">
        <v>0</v>
      </c>
      <c r="U2542" s="218">
        <v>0</v>
      </c>
      <c r="V2542" s="219">
        <v>0</v>
      </c>
      <c r="W2542" s="219">
        <v>0</v>
      </c>
    </row>
    <row r="2543" spans="1:23" ht="15" customHeight="1">
      <c r="C2543" s="3">
        <v>40</v>
      </c>
      <c r="D2543" s="15" t="s">
        <v>1776</v>
      </c>
      <c r="E2543" s="312" t="s">
        <v>1777</v>
      </c>
      <c r="G2543" s="26">
        <v>0</v>
      </c>
      <c r="H2543" s="26">
        <v>0</v>
      </c>
      <c r="I2543" s="26">
        <v>760</v>
      </c>
      <c r="J2543" s="26">
        <v>317</v>
      </c>
      <c r="K2543" s="26">
        <v>0</v>
      </c>
      <c r="L2543" s="26">
        <v>0</v>
      </c>
      <c r="M2543" s="26">
        <v>0</v>
      </c>
      <c r="N2543" s="26">
        <v>0</v>
      </c>
      <c r="P2543" s="214">
        <v>2244</v>
      </c>
      <c r="Q2543" s="215">
        <v>40</v>
      </c>
      <c r="R2543" s="216" t="s">
        <v>1776</v>
      </c>
      <c r="S2543" s="217" t="s">
        <v>1777</v>
      </c>
      <c r="T2543" s="218">
        <v>0</v>
      </c>
      <c r="U2543" s="218">
        <v>0</v>
      </c>
      <c r="V2543" s="219">
        <v>0</v>
      </c>
      <c r="W2543" s="219">
        <v>0</v>
      </c>
    </row>
    <row r="2544" spans="1:23" ht="15" customHeight="1">
      <c r="C2544" s="3">
        <v>40</v>
      </c>
      <c r="D2544" s="15" t="s">
        <v>1778</v>
      </c>
      <c r="E2544" s="312" t="s">
        <v>1779</v>
      </c>
      <c r="G2544" s="26">
        <v>0</v>
      </c>
      <c r="H2544" s="26">
        <v>0</v>
      </c>
      <c r="I2544" s="26">
        <v>0</v>
      </c>
      <c r="J2544" s="26">
        <v>3550</v>
      </c>
      <c r="K2544" s="26">
        <v>0</v>
      </c>
      <c r="L2544" s="26">
        <v>1000</v>
      </c>
      <c r="M2544" s="26">
        <v>0</v>
      </c>
      <c r="N2544" s="26">
        <v>0</v>
      </c>
      <c r="P2544" s="214">
        <v>2245</v>
      </c>
      <c r="Q2544" s="215">
        <v>40</v>
      </c>
      <c r="R2544" s="216" t="s">
        <v>1778</v>
      </c>
      <c r="S2544" s="217" t="s">
        <v>1779</v>
      </c>
      <c r="T2544" s="218">
        <v>0</v>
      </c>
      <c r="U2544" s="218">
        <v>0</v>
      </c>
      <c r="V2544" s="219">
        <v>1000</v>
      </c>
      <c r="W2544" s="219">
        <v>0</v>
      </c>
    </row>
    <row r="2545" spans="1:23" ht="15" customHeight="1">
      <c r="C2545" s="3">
        <v>40</v>
      </c>
      <c r="D2545" s="15" t="s">
        <v>1780</v>
      </c>
      <c r="E2545" s="312" t="s">
        <v>1781</v>
      </c>
      <c r="G2545" s="26">
        <v>0</v>
      </c>
      <c r="H2545" s="26">
        <v>0</v>
      </c>
      <c r="I2545" s="26">
        <v>0</v>
      </c>
      <c r="J2545" s="26">
        <v>0</v>
      </c>
      <c r="K2545" s="26">
        <v>0</v>
      </c>
      <c r="L2545" s="26">
        <v>0</v>
      </c>
      <c r="M2545" s="26">
        <v>0</v>
      </c>
      <c r="N2545" s="26">
        <v>0</v>
      </c>
      <c r="P2545" s="214">
        <v>2246</v>
      </c>
      <c r="Q2545" s="215">
        <v>40</v>
      </c>
      <c r="R2545" s="216" t="s">
        <v>1780</v>
      </c>
      <c r="S2545" s="217" t="s">
        <v>1781</v>
      </c>
      <c r="T2545" s="218">
        <v>0</v>
      </c>
      <c r="U2545" s="218">
        <v>0</v>
      </c>
      <c r="V2545" s="219">
        <v>0</v>
      </c>
      <c r="W2545" s="219">
        <v>0</v>
      </c>
    </row>
    <row r="2546" spans="1:23" ht="15" customHeight="1">
      <c r="C2546" s="3">
        <v>40</v>
      </c>
      <c r="D2546" s="15" t="s">
        <v>1782</v>
      </c>
      <c r="E2546" s="312" t="s">
        <v>1783</v>
      </c>
      <c r="G2546" s="26">
        <v>0</v>
      </c>
      <c r="H2546" s="26">
        <v>0</v>
      </c>
      <c r="I2546" s="26">
        <v>18000</v>
      </c>
      <c r="J2546" s="26">
        <v>0</v>
      </c>
      <c r="K2546" s="26">
        <v>0</v>
      </c>
      <c r="L2546" s="26">
        <v>0</v>
      </c>
      <c r="M2546" s="26">
        <v>0</v>
      </c>
      <c r="N2546" s="26">
        <v>0</v>
      </c>
      <c r="P2546" s="214">
        <v>2247</v>
      </c>
      <c r="Q2546" s="215">
        <v>40</v>
      </c>
      <c r="R2546" s="216" t="s">
        <v>1782</v>
      </c>
      <c r="S2546" s="217" t="s">
        <v>1783</v>
      </c>
      <c r="T2546" s="218">
        <v>0</v>
      </c>
      <c r="U2546" s="218">
        <v>0</v>
      </c>
      <c r="V2546" s="219">
        <v>0</v>
      </c>
      <c r="W2546" s="219">
        <v>0</v>
      </c>
    </row>
    <row r="2547" spans="1:23" ht="15" customHeight="1">
      <c r="C2547" s="3">
        <v>40</v>
      </c>
      <c r="D2547" s="15" t="s">
        <v>1784</v>
      </c>
      <c r="E2547" s="312" t="s">
        <v>1785</v>
      </c>
      <c r="G2547" s="26">
        <v>0</v>
      </c>
      <c r="H2547" s="26">
        <v>0</v>
      </c>
      <c r="I2547" s="26">
        <v>2772</v>
      </c>
      <c r="J2547" s="26">
        <v>2666</v>
      </c>
      <c r="K2547" s="26">
        <v>0</v>
      </c>
      <c r="L2547" s="26">
        <v>0</v>
      </c>
      <c r="M2547" s="26">
        <v>0</v>
      </c>
      <c r="N2547" s="26">
        <v>0</v>
      </c>
      <c r="P2547" s="214">
        <v>2248</v>
      </c>
      <c r="Q2547" s="215">
        <v>40</v>
      </c>
      <c r="R2547" s="216" t="s">
        <v>1784</v>
      </c>
      <c r="S2547" s="217" t="s">
        <v>1785</v>
      </c>
      <c r="T2547" s="218">
        <v>0</v>
      </c>
      <c r="U2547" s="218">
        <v>0</v>
      </c>
      <c r="V2547" s="219">
        <v>0</v>
      </c>
      <c r="W2547" s="219">
        <v>0</v>
      </c>
    </row>
    <row r="2548" spans="1:23" ht="15" customHeight="1">
      <c r="C2548" s="3">
        <v>40</v>
      </c>
      <c r="D2548" s="14" t="s">
        <v>2570</v>
      </c>
      <c r="E2548" s="312" t="s">
        <v>2569</v>
      </c>
      <c r="G2548" s="26">
        <v>0</v>
      </c>
      <c r="H2548" s="26">
        <v>0</v>
      </c>
      <c r="I2548" s="26">
        <v>0</v>
      </c>
      <c r="J2548" s="26">
        <v>0</v>
      </c>
      <c r="K2548" s="26">
        <v>0</v>
      </c>
      <c r="L2548" s="26">
        <v>200</v>
      </c>
      <c r="M2548" s="26">
        <v>0</v>
      </c>
      <c r="N2548" s="26">
        <v>0</v>
      </c>
      <c r="P2548" s="214">
        <v>2249</v>
      </c>
      <c r="Q2548" s="215">
        <v>40</v>
      </c>
      <c r="R2548" s="216" t="s">
        <v>2570</v>
      </c>
      <c r="S2548" s="217" t="s">
        <v>2569</v>
      </c>
      <c r="T2548" s="218">
        <v>0</v>
      </c>
      <c r="U2548" s="218">
        <v>0</v>
      </c>
      <c r="V2548" s="219">
        <v>200</v>
      </c>
      <c r="W2548" s="219">
        <v>0</v>
      </c>
    </row>
    <row r="2549" spans="1:23" ht="15" customHeight="1">
      <c r="C2549" s="3">
        <v>40</v>
      </c>
      <c r="D2549" s="15" t="s">
        <v>1786</v>
      </c>
      <c r="E2549" s="312" t="s">
        <v>1787</v>
      </c>
      <c r="G2549" s="26">
        <v>0</v>
      </c>
      <c r="H2549" s="26">
        <v>0</v>
      </c>
      <c r="I2549" s="26">
        <v>8136</v>
      </c>
      <c r="J2549" s="26">
        <v>25328</v>
      </c>
      <c r="K2549" s="26">
        <v>0</v>
      </c>
      <c r="L2549" s="26">
        <v>9406</v>
      </c>
      <c r="M2549" s="26">
        <v>0</v>
      </c>
      <c r="N2549" s="26">
        <v>0</v>
      </c>
      <c r="P2549" s="214">
        <v>2250</v>
      </c>
      <c r="Q2549" s="215">
        <v>40</v>
      </c>
      <c r="R2549" s="216" t="s">
        <v>1786</v>
      </c>
      <c r="S2549" s="217" t="s">
        <v>1787</v>
      </c>
      <c r="T2549" s="218">
        <v>0</v>
      </c>
      <c r="U2549" s="218">
        <v>0</v>
      </c>
      <c r="V2549" s="219">
        <v>9406</v>
      </c>
      <c r="W2549" s="219">
        <v>0</v>
      </c>
    </row>
    <row r="2550" spans="1:23" ht="15" customHeight="1">
      <c r="C2550" s="3">
        <v>40</v>
      </c>
      <c r="D2550" s="15" t="s">
        <v>1788</v>
      </c>
      <c r="E2550" s="312" t="s">
        <v>1789</v>
      </c>
      <c r="G2550" s="26">
        <v>0</v>
      </c>
      <c r="H2550" s="26">
        <v>0</v>
      </c>
      <c r="I2550" s="26">
        <v>0</v>
      </c>
      <c r="J2550" s="26">
        <v>43600</v>
      </c>
      <c r="K2550" s="26">
        <v>0</v>
      </c>
      <c r="L2550" s="26">
        <v>648</v>
      </c>
      <c r="M2550" s="26">
        <v>0</v>
      </c>
      <c r="N2550" s="26">
        <v>0</v>
      </c>
      <c r="P2550" s="214">
        <v>2251</v>
      </c>
      <c r="Q2550" s="215">
        <v>40</v>
      </c>
      <c r="R2550" s="216" t="s">
        <v>1788</v>
      </c>
      <c r="S2550" s="217" t="s">
        <v>1789</v>
      </c>
      <c r="T2550" s="218">
        <v>0</v>
      </c>
      <c r="U2550" s="218">
        <v>0</v>
      </c>
      <c r="V2550" s="219">
        <v>647.5</v>
      </c>
      <c r="W2550" s="219">
        <v>0</v>
      </c>
    </row>
    <row r="2551" spans="1:23" ht="15" customHeight="1">
      <c r="C2551" s="3">
        <v>40</v>
      </c>
      <c r="D2551" s="15" t="s">
        <v>1790</v>
      </c>
      <c r="E2551" s="312" t="s">
        <v>1791</v>
      </c>
      <c r="G2551" s="26">
        <v>0</v>
      </c>
      <c r="H2551" s="26">
        <v>0</v>
      </c>
      <c r="I2551" s="26">
        <v>17529</v>
      </c>
      <c r="J2551" s="26">
        <v>116688</v>
      </c>
      <c r="K2551" s="26">
        <v>0</v>
      </c>
      <c r="L2551" s="26">
        <v>4180</v>
      </c>
      <c r="M2551" s="26">
        <v>0</v>
      </c>
      <c r="N2551" s="26">
        <v>0</v>
      </c>
      <c r="P2551" s="214">
        <v>2252</v>
      </c>
      <c r="Q2551" s="215">
        <v>40</v>
      </c>
      <c r="R2551" s="216" t="s">
        <v>1790</v>
      </c>
      <c r="S2551" s="217" t="s">
        <v>1791</v>
      </c>
      <c r="T2551" s="218">
        <v>0</v>
      </c>
      <c r="U2551" s="218">
        <v>0</v>
      </c>
      <c r="V2551" s="219">
        <v>4179.9399999999996</v>
      </c>
      <c r="W2551" s="219">
        <v>0</v>
      </c>
    </row>
    <row r="2552" spans="1:23" ht="15" customHeight="1">
      <c r="C2552" s="3">
        <v>40</v>
      </c>
      <c r="D2552" s="15" t="s">
        <v>1792</v>
      </c>
      <c r="E2552" s="312" t="s">
        <v>1793</v>
      </c>
      <c r="G2552" s="26">
        <v>0</v>
      </c>
      <c r="H2552" s="26">
        <v>0</v>
      </c>
      <c r="I2552" s="26">
        <v>2500</v>
      </c>
      <c r="J2552" s="26">
        <v>0</v>
      </c>
      <c r="K2552" s="26">
        <v>0</v>
      </c>
      <c r="L2552" s="26">
        <v>0</v>
      </c>
      <c r="M2552" s="26">
        <v>0</v>
      </c>
      <c r="N2552" s="26">
        <v>0</v>
      </c>
      <c r="P2552" s="214">
        <v>2253</v>
      </c>
      <c r="Q2552" s="215">
        <v>40</v>
      </c>
      <c r="R2552" s="216" t="s">
        <v>1792</v>
      </c>
      <c r="S2552" s="217" t="s">
        <v>1793</v>
      </c>
      <c r="T2552" s="218">
        <v>0</v>
      </c>
      <c r="U2552" s="218">
        <v>0</v>
      </c>
      <c r="V2552" s="219">
        <v>0</v>
      </c>
      <c r="W2552" s="219">
        <v>0</v>
      </c>
    </row>
    <row r="2553" spans="1:23" ht="15" customHeight="1">
      <c r="C2553" s="3">
        <v>40</v>
      </c>
      <c r="D2553" s="15" t="s">
        <v>1794</v>
      </c>
      <c r="E2553" s="312" t="s">
        <v>1795</v>
      </c>
      <c r="G2553" s="26">
        <v>0</v>
      </c>
      <c r="H2553" s="26">
        <v>0</v>
      </c>
      <c r="I2553" s="26">
        <v>26433</v>
      </c>
      <c r="J2553" s="26">
        <v>0</v>
      </c>
      <c r="K2553" s="26">
        <v>0</v>
      </c>
      <c r="L2553" s="26">
        <v>0</v>
      </c>
      <c r="M2553" s="26">
        <v>0</v>
      </c>
      <c r="N2553" s="26">
        <v>0</v>
      </c>
      <c r="P2553" s="214">
        <v>2254</v>
      </c>
      <c r="Q2553" s="215">
        <v>40</v>
      </c>
      <c r="R2553" s="216" t="s">
        <v>1794</v>
      </c>
      <c r="S2553" s="217" t="s">
        <v>1795</v>
      </c>
      <c r="T2553" s="218">
        <v>0</v>
      </c>
      <c r="U2553" s="218">
        <v>0</v>
      </c>
      <c r="V2553" s="219">
        <v>0</v>
      </c>
      <c r="W2553" s="219">
        <v>0</v>
      </c>
    </row>
    <row r="2554" spans="1:23" ht="15" customHeight="1">
      <c r="C2554" s="3">
        <v>40</v>
      </c>
      <c r="D2554" s="15" t="s">
        <v>1796</v>
      </c>
      <c r="E2554" s="312" t="s">
        <v>1797</v>
      </c>
      <c r="G2554" s="26">
        <v>0</v>
      </c>
      <c r="H2554" s="26">
        <v>0</v>
      </c>
      <c r="I2554" s="26">
        <v>0</v>
      </c>
      <c r="J2554" s="26">
        <v>0</v>
      </c>
      <c r="K2554" s="26">
        <v>0</v>
      </c>
      <c r="L2554" s="26">
        <v>0</v>
      </c>
      <c r="M2554" s="26">
        <v>0</v>
      </c>
      <c r="N2554" s="26">
        <v>0</v>
      </c>
      <c r="P2554" s="214">
        <v>2255</v>
      </c>
      <c r="Q2554" s="215">
        <v>40</v>
      </c>
      <c r="R2554" s="216" t="s">
        <v>1796</v>
      </c>
      <c r="S2554" s="217" t="s">
        <v>1797</v>
      </c>
      <c r="T2554" s="218">
        <v>0</v>
      </c>
      <c r="U2554" s="218">
        <v>0</v>
      </c>
      <c r="V2554" s="219">
        <v>0</v>
      </c>
      <c r="W2554" s="219">
        <v>0</v>
      </c>
    </row>
    <row r="2555" spans="1:23" ht="15" customHeight="1">
      <c r="C2555" s="3">
        <v>40</v>
      </c>
      <c r="D2555" s="15" t="s">
        <v>1798</v>
      </c>
      <c r="E2555" s="312" t="s">
        <v>1799</v>
      </c>
      <c r="G2555" s="26">
        <v>0</v>
      </c>
      <c r="H2555" s="26">
        <v>0</v>
      </c>
      <c r="I2555" s="26">
        <v>0</v>
      </c>
      <c r="J2555" s="26">
        <v>1260</v>
      </c>
      <c r="K2555" s="26">
        <v>0</v>
      </c>
      <c r="L2555" s="26">
        <v>0</v>
      </c>
      <c r="M2555" s="26">
        <v>0</v>
      </c>
      <c r="N2555" s="26">
        <v>0</v>
      </c>
      <c r="P2555" s="214">
        <v>2256</v>
      </c>
      <c r="Q2555" s="215">
        <v>40</v>
      </c>
      <c r="R2555" s="216" t="s">
        <v>1798</v>
      </c>
      <c r="S2555" s="217" t="s">
        <v>1799</v>
      </c>
      <c r="T2555" s="218">
        <v>0</v>
      </c>
      <c r="U2555" s="218">
        <v>0</v>
      </c>
      <c r="V2555" s="219">
        <v>0</v>
      </c>
      <c r="W2555" s="219">
        <v>0</v>
      </c>
    </row>
    <row r="2556" spans="1:23" ht="15" customHeight="1">
      <c r="C2556" s="3">
        <v>40</v>
      </c>
      <c r="D2556" s="15" t="s">
        <v>1800</v>
      </c>
      <c r="E2556" s="312" t="s">
        <v>1801</v>
      </c>
      <c r="G2556" s="26">
        <v>0</v>
      </c>
      <c r="H2556" s="26">
        <v>0</v>
      </c>
      <c r="I2556" s="26">
        <v>4000</v>
      </c>
      <c r="J2556" s="26">
        <v>0</v>
      </c>
      <c r="K2556" s="26">
        <v>0</v>
      </c>
      <c r="L2556" s="26">
        <v>0</v>
      </c>
      <c r="M2556" s="26">
        <v>0</v>
      </c>
      <c r="N2556" s="26">
        <v>0</v>
      </c>
      <c r="P2556" s="214">
        <v>2257</v>
      </c>
      <c r="Q2556" s="215">
        <v>40</v>
      </c>
      <c r="R2556" s="216" t="s">
        <v>1800</v>
      </c>
      <c r="S2556" s="217" t="s">
        <v>1801</v>
      </c>
      <c r="T2556" s="218">
        <v>0</v>
      </c>
      <c r="U2556" s="218">
        <v>0</v>
      </c>
      <c r="V2556" s="219">
        <v>0</v>
      </c>
      <c r="W2556" s="219">
        <v>0</v>
      </c>
    </row>
    <row r="2557" spans="1:23" ht="15" customHeight="1">
      <c r="C2557" s="3">
        <v>40</v>
      </c>
      <c r="E2557" s="14"/>
      <c r="G2557" s="26"/>
      <c r="H2557" s="26"/>
      <c r="I2557" s="26"/>
      <c r="J2557" s="26"/>
      <c r="K2557" s="26"/>
      <c r="L2557" s="26"/>
      <c r="M2557" s="26"/>
      <c r="N2557" s="26"/>
      <c r="P2557" s="223"/>
      <c r="Q2557" s="223"/>
      <c r="R2557" s="223"/>
      <c r="S2557" s="223"/>
      <c r="T2557" s="223"/>
      <c r="U2557" s="223"/>
      <c r="V2557" s="223"/>
      <c r="W2557" s="223"/>
    </row>
    <row r="2558" spans="1:23" s="27" customFormat="1" ht="15" customHeight="1" thickBot="1">
      <c r="A2558" s="2"/>
      <c r="B2558" s="2" t="s">
        <v>2317</v>
      </c>
      <c r="C2558" s="3">
        <v>40</v>
      </c>
      <c r="D2558" s="68" t="s">
        <v>2373</v>
      </c>
      <c r="E2558" s="68"/>
      <c r="F2558" s="320"/>
      <c r="G2558" s="69">
        <f t="shared" ref="G2558:N2558" si="226">SUM(G2537:G2557)</f>
        <v>0</v>
      </c>
      <c r="H2558" s="69">
        <f t="shared" si="226"/>
        <v>0</v>
      </c>
      <c r="I2558" s="69">
        <f t="shared" si="226"/>
        <v>80130</v>
      </c>
      <c r="J2558" s="69">
        <f t="shared" si="226"/>
        <v>192429</v>
      </c>
      <c r="K2558" s="69">
        <f t="shared" si="226"/>
        <v>0</v>
      </c>
      <c r="L2558" s="69">
        <f t="shared" si="226"/>
        <v>15434</v>
      </c>
      <c r="M2558" s="69">
        <f t="shared" si="226"/>
        <v>0</v>
      </c>
      <c r="N2558" s="69">
        <f t="shared" si="226"/>
        <v>0</v>
      </c>
      <c r="O2558" s="28"/>
      <c r="P2558" s="214">
        <v>2258</v>
      </c>
      <c r="Q2558" s="215">
        <v>40</v>
      </c>
      <c r="R2558" s="216" t="s">
        <v>2620</v>
      </c>
      <c r="S2558" s="217"/>
      <c r="T2558" s="218">
        <v>0</v>
      </c>
      <c r="U2558" s="218">
        <v>0</v>
      </c>
      <c r="V2558" s="219">
        <v>15433.44</v>
      </c>
      <c r="W2558" s="219">
        <v>0</v>
      </c>
    </row>
    <row r="2559" spans="1:23" s="46" customFormat="1" ht="15" customHeight="1" thickTop="1">
      <c r="A2559" s="5"/>
      <c r="B2559" s="5"/>
      <c r="C2559" s="3">
        <v>40</v>
      </c>
      <c r="D2559" s="47"/>
      <c r="E2559" s="47"/>
      <c r="F2559" s="191"/>
      <c r="G2559" s="56"/>
      <c r="H2559" s="56"/>
      <c r="I2559" s="56"/>
      <c r="J2559" s="56"/>
      <c r="K2559" s="56"/>
      <c r="L2559" s="56"/>
      <c r="M2559" s="56"/>
      <c r="N2559" s="56"/>
      <c r="O2559" s="47"/>
      <c r="P2559" s="214">
        <v>2259</v>
      </c>
      <c r="Q2559" s="215">
        <v>40</v>
      </c>
      <c r="R2559" s="216" t="s">
        <v>2639</v>
      </c>
      <c r="S2559" s="217"/>
      <c r="T2559" s="218"/>
      <c r="U2559" s="218"/>
      <c r="V2559" s="219"/>
      <c r="W2559" s="219"/>
    </row>
    <row r="2560" spans="1:23" ht="15" customHeight="1">
      <c r="C2560" s="3">
        <v>40</v>
      </c>
      <c r="D2560" s="47" t="s">
        <v>2374</v>
      </c>
      <c r="G2560" s="26"/>
      <c r="H2560" s="26"/>
      <c r="I2560" s="26"/>
      <c r="J2560" s="26"/>
      <c r="K2560" s="26"/>
      <c r="L2560" s="26"/>
      <c r="M2560" s="26"/>
      <c r="N2560" s="26"/>
      <c r="P2560" s="214">
        <v>2260</v>
      </c>
      <c r="Q2560" s="215">
        <v>40</v>
      </c>
      <c r="R2560" s="216" t="s">
        <v>2634</v>
      </c>
      <c r="S2560" s="217"/>
      <c r="T2560" s="218"/>
      <c r="U2560" s="218"/>
      <c r="V2560" s="219"/>
      <c r="W2560" s="219"/>
    </row>
    <row r="2561" spans="1:23" ht="15" customHeight="1">
      <c r="C2561" s="3">
        <v>40</v>
      </c>
      <c r="G2561" s="26"/>
      <c r="H2561" s="26"/>
      <c r="I2561" s="26"/>
      <c r="J2561" s="26"/>
      <c r="K2561" s="26"/>
      <c r="L2561" s="26"/>
      <c r="M2561" s="26"/>
      <c r="N2561" s="26"/>
      <c r="P2561" s="223"/>
      <c r="Q2561" s="223"/>
      <c r="R2561" s="223"/>
      <c r="S2561" s="223"/>
      <c r="T2561" s="223"/>
      <c r="U2561" s="223"/>
      <c r="V2561" s="223"/>
      <c r="W2561" s="223"/>
    </row>
    <row r="2562" spans="1:23" ht="15" customHeight="1">
      <c r="C2562" s="3">
        <v>40</v>
      </c>
      <c r="D2562" s="15" t="s">
        <v>1802</v>
      </c>
      <c r="E2562" s="312" t="s">
        <v>1803</v>
      </c>
      <c r="G2562" s="26">
        <v>0</v>
      </c>
      <c r="H2562" s="26">
        <v>0</v>
      </c>
      <c r="I2562" s="26">
        <v>1500</v>
      </c>
      <c r="J2562" s="26">
        <v>0</v>
      </c>
      <c r="K2562" s="26">
        <v>0</v>
      </c>
      <c r="L2562" s="26">
        <v>1000</v>
      </c>
      <c r="M2562" s="26">
        <v>0</v>
      </c>
      <c r="N2562" s="26">
        <v>0</v>
      </c>
      <c r="P2562" s="214">
        <v>2261</v>
      </c>
      <c r="Q2562" s="215">
        <v>40</v>
      </c>
      <c r="R2562" s="216" t="s">
        <v>1802</v>
      </c>
      <c r="S2562" s="217" t="s">
        <v>1803</v>
      </c>
      <c r="T2562" s="218">
        <v>0</v>
      </c>
      <c r="U2562" s="218">
        <v>0</v>
      </c>
      <c r="V2562" s="219">
        <v>1000</v>
      </c>
      <c r="W2562" s="219">
        <v>0</v>
      </c>
    </row>
    <row r="2563" spans="1:23" ht="15" customHeight="1">
      <c r="C2563" s="3">
        <v>40</v>
      </c>
      <c r="D2563" s="15" t="s">
        <v>1804</v>
      </c>
      <c r="E2563" s="312" t="s">
        <v>1805</v>
      </c>
      <c r="G2563" s="26">
        <v>0</v>
      </c>
      <c r="H2563" s="26">
        <v>0</v>
      </c>
      <c r="I2563" s="26">
        <v>0</v>
      </c>
      <c r="J2563" s="26">
        <v>0</v>
      </c>
      <c r="K2563" s="26">
        <v>0</v>
      </c>
      <c r="L2563" s="26">
        <v>0</v>
      </c>
      <c r="M2563" s="26">
        <v>0</v>
      </c>
      <c r="N2563" s="26">
        <v>0</v>
      </c>
      <c r="P2563" s="214">
        <v>2262</v>
      </c>
      <c r="Q2563" s="215">
        <v>40</v>
      </c>
      <c r="R2563" s="216" t="s">
        <v>1804</v>
      </c>
      <c r="S2563" s="217" t="s">
        <v>1805</v>
      </c>
      <c r="T2563" s="218">
        <v>0</v>
      </c>
      <c r="U2563" s="218">
        <v>0</v>
      </c>
      <c r="V2563" s="219">
        <v>0</v>
      </c>
      <c r="W2563" s="219">
        <v>0</v>
      </c>
    </row>
    <row r="2564" spans="1:23" ht="15" customHeight="1">
      <c r="C2564" s="3">
        <v>40</v>
      </c>
      <c r="D2564" s="15" t="s">
        <v>1806</v>
      </c>
      <c r="E2564" s="312" t="s">
        <v>1807</v>
      </c>
      <c r="G2564" s="26">
        <v>0</v>
      </c>
      <c r="H2564" s="26">
        <v>0</v>
      </c>
      <c r="I2564" s="26">
        <v>760</v>
      </c>
      <c r="J2564" s="26">
        <v>0</v>
      </c>
      <c r="K2564" s="26">
        <v>0</v>
      </c>
      <c r="L2564" s="26">
        <v>0</v>
      </c>
      <c r="M2564" s="26">
        <v>0</v>
      </c>
      <c r="N2564" s="26">
        <v>0</v>
      </c>
      <c r="O2564" s="285"/>
      <c r="P2564" s="214">
        <v>2263</v>
      </c>
      <c r="Q2564" s="215">
        <v>40</v>
      </c>
      <c r="R2564" s="216" t="s">
        <v>1806</v>
      </c>
      <c r="S2564" s="217" t="s">
        <v>1807</v>
      </c>
      <c r="T2564" s="218">
        <v>0</v>
      </c>
      <c r="U2564" s="218">
        <v>0</v>
      </c>
      <c r="V2564" s="219">
        <v>0</v>
      </c>
      <c r="W2564" s="219">
        <v>0</v>
      </c>
    </row>
    <row r="2565" spans="1:23" ht="15" customHeight="1">
      <c r="C2565" s="3">
        <v>40</v>
      </c>
      <c r="D2565" s="15" t="s">
        <v>1808</v>
      </c>
      <c r="E2565" s="312" t="s">
        <v>1809</v>
      </c>
      <c r="G2565" s="26">
        <v>0</v>
      </c>
      <c r="H2565" s="26">
        <v>0</v>
      </c>
      <c r="I2565" s="26">
        <v>18000</v>
      </c>
      <c r="J2565" s="26">
        <v>0</v>
      </c>
      <c r="K2565" s="26">
        <v>0</v>
      </c>
      <c r="L2565" s="26">
        <v>0</v>
      </c>
      <c r="M2565" s="26">
        <v>0</v>
      </c>
      <c r="N2565" s="26">
        <v>0</v>
      </c>
      <c r="O2565" s="285"/>
      <c r="P2565" s="214">
        <v>2264</v>
      </c>
      <c r="Q2565" s="215">
        <v>40</v>
      </c>
      <c r="R2565" s="216" t="s">
        <v>1808</v>
      </c>
      <c r="S2565" s="217" t="s">
        <v>1809</v>
      </c>
      <c r="T2565" s="218">
        <v>0</v>
      </c>
      <c r="U2565" s="218">
        <v>0</v>
      </c>
      <c r="V2565" s="219">
        <v>0</v>
      </c>
      <c r="W2565" s="219">
        <v>0</v>
      </c>
    </row>
    <row r="2566" spans="1:23" ht="15" customHeight="1">
      <c r="C2566" s="3">
        <v>40</v>
      </c>
      <c r="D2566" s="15" t="s">
        <v>1810</v>
      </c>
      <c r="E2566" s="312" t="s">
        <v>1811</v>
      </c>
      <c r="G2566" s="26">
        <v>0</v>
      </c>
      <c r="H2566" s="26">
        <v>0</v>
      </c>
      <c r="I2566" s="26">
        <v>26433</v>
      </c>
      <c r="J2566" s="26">
        <v>0</v>
      </c>
      <c r="K2566" s="26">
        <v>0</v>
      </c>
      <c r="L2566" s="26">
        <v>0</v>
      </c>
      <c r="M2566" s="26">
        <v>0</v>
      </c>
      <c r="N2566" s="26">
        <v>0</v>
      </c>
      <c r="O2566" s="285"/>
      <c r="P2566" s="214">
        <v>2265</v>
      </c>
      <c r="Q2566" s="215">
        <v>40</v>
      </c>
      <c r="R2566" s="216" t="s">
        <v>1810</v>
      </c>
      <c r="S2566" s="217" t="s">
        <v>1811</v>
      </c>
      <c r="T2566" s="218">
        <v>0</v>
      </c>
      <c r="U2566" s="218">
        <v>0</v>
      </c>
      <c r="V2566" s="219">
        <v>0</v>
      </c>
      <c r="W2566" s="219">
        <v>0</v>
      </c>
    </row>
    <row r="2567" spans="1:23" ht="15" customHeight="1">
      <c r="C2567" s="3">
        <v>40</v>
      </c>
      <c r="D2567" s="15" t="s">
        <v>1812</v>
      </c>
      <c r="E2567" s="312" t="s">
        <v>1813</v>
      </c>
      <c r="G2567" s="26">
        <v>0</v>
      </c>
      <c r="H2567" s="26">
        <v>0</v>
      </c>
      <c r="I2567" s="26">
        <v>4005</v>
      </c>
      <c r="J2567" s="26">
        <v>0</v>
      </c>
      <c r="K2567" s="26">
        <v>0</v>
      </c>
      <c r="L2567" s="26">
        <v>0</v>
      </c>
      <c r="M2567" s="26">
        <v>0</v>
      </c>
      <c r="N2567" s="26">
        <v>0</v>
      </c>
      <c r="O2567" s="285"/>
      <c r="P2567" s="214">
        <v>2266</v>
      </c>
      <c r="Q2567" s="215">
        <v>40</v>
      </c>
      <c r="R2567" s="216" t="s">
        <v>1812</v>
      </c>
      <c r="S2567" s="217" t="s">
        <v>1813</v>
      </c>
      <c r="T2567" s="218">
        <v>0</v>
      </c>
      <c r="U2567" s="218">
        <v>0</v>
      </c>
      <c r="V2567" s="219">
        <v>0</v>
      </c>
      <c r="W2567" s="219">
        <v>0</v>
      </c>
    </row>
    <row r="2568" spans="1:23" ht="15" customHeight="1">
      <c r="C2568" s="3">
        <v>40</v>
      </c>
      <c r="D2568" s="15" t="s">
        <v>1814</v>
      </c>
      <c r="E2568" s="312" t="s">
        <v>1815</v>
      </c>
      <c r="G2568" s="26">
        <v>0</v>
      </c>
      <c r="H2568" s="26">
        <v>0</v>
      </c>
      <c r="I2568" s="26">
        <v>0</v>
      </c>
      <c r="J2568" s="26">
        <v>0</v>
      </c>
      <c r="K2568" s="26">
        <v>0</v>
      </c>
      <c r="L2568" s="26">
        <v>0</v>
      </c>
      <c r="M2568" s="26">
        <v>0</v>
      </c>
      <c r="N2568" s="26">
        <v>0</v>
      </c>
      <c r="O2568" s="285"/>
      <c r="P2568" s="214">
        <v>2267</v>
      </c>
      <c r="Q2568" s="215">
        <v>40</v>
      </c>
      <c r="R2568" s="216" t="s">
        <v>1814</v>
      </c>
      <c r="S2568" s="217" t="s">
        <v>1815</v>
      </c>
      <c r="T2568" s="218">
        <v>0</v>
      </c>
      <c r="U2568" s="218">
        <v>0</v>
      </c>
      <c r="V2568" s="219">
        <v>0</v>
      </c>
      <c r="W2568" s="219">
        <v>0</v>
      </c>
    </row>
    <row r="2569" spans="1:23" ht="15" customHeight="1">
      <c r="C2569" s="3">
        <v>40</v>
      </c>
      <c r="D2569" s="14" t="s">
        <v>2501</v>
      </c>
      <c r="E2569" s="312" t="s">
        <v>2497</v>
      </c>
      <c r="F2569" s="14"/>
      <c r="G2569" s="26">
        <v>0</v>
      </c>
      <c r="H2569" s="26">
        <v>0</v>
      </c>
      <c r="I2569" s="26">
        <v>0</v>
      </c>
      <c r="J2569" s="26">
        <v>0</v>
      </c>
      <c r="K2569" s="26">
        <v>0</v>
      </c>
      <c r="L2569" s="26">
        <v>0</v>
      </c>
      <c r="M2569" s="26">
        <v>0</v>
      </c>
      <c r="N2569" s="26">
        <v>0</v>
      </c>
      <c r="O2569" s="285"/>
      <c r="P2569" s="214">
        <v>2268</v>
      </c>
      <c r="Q2569" s="215">
        <v>40</v>
      </c>
      <c r="R2569" s="216" t="s">
        <v>2501</v>
      </c>
      <c r="S2569" s="217" t="s">
        <v>2497</v>
      </c>
      <c r="T2569" s="218">
        <v>0</v>
      </c>
      <c r="U2569" s="218">
        <v>0</v>
      </c>
      <c r="V2569" s="219">
        <v>0</v>
      </c>
      <c r="W2569" s="219">
        <v>0</v>
      </c>
    </row>
    <row r="2570" spans="1:23" ht="15" customHeight="1">
      <c r="C2570" s="3">
        <v>40</v>
      </c>
      <c r="D2570" s="15" t="s">
        <v>1816</v>
      </c>
      <c r="E2570" s="312" t="s">
        <v>1817</v>
      </c>
      <c r="G2570" s="26">
        <v>0</v>
      </c>
      <c r="H2570" s="26">
        <v>0</v>
      </c>
      <c r="I2570" s="26">
        <v>2067</v>
      </c>
      <c r="J2570" s="26">
        <v>2016</v>
      </c>
      <c r="K2570" s="26">
        <v>0</v>
      </c>
      <c r="L2570" s="26">
        <v>0</v>
      </c>
      <c r="M2570" s="26">
        <v>0</v>
      </c>
      <c r="N2570" s="26">
        <v>0</v>
      </c>
      <c r="O2570" s="285"/>
      <c r="P2570" s="214">
        <v>2269</v>
      </c>
      <c r="Q2570" s="215">
        <v>40</v>
      </c>
      <c r="R2570" s="216" t="s">
        <v>1816</v>
      </c>
      <c r="S2570" s="217" t="s">
        <v>1817</v>
      </c>
      <c r="T2570" s="218">
        <v>0</v>
      </c>
      <c r="U2570" s="218">
        <v>0</v>
      </c>
      <c r="V2570" s="219">
        <v>0</v>
      </c>
      <c r="W2570" s="219">
        <v>0</v>
      </c>
    </row>
    <row r="2571" spans="1:23" ht="15" customHeight="1">
      <c r="C2571" s="3">
        <v>40</v>
      </c>
      <c r="D2571" s="15" t="s">
        <v>1818</v>
      </c>
      <c r="E2571" s="312" t="s">
        <v>1819</v>
      </c>
      <c r="G2571" s="26">
        <v>0</v>
      </c>
      <c r="H2571" s="26">
        <v>0</v>
      </c>
      <c r="I2571" s="26">
        <v>0</v>
      </c>
      <c r="J2571" s="26">
        <v>68353</v>
      </c>
      <c r="K2571" s="26">
        <v>0</v>
      </c>
      <c r="L2571" s="26">
        <v>0</v>
      </c>
      <c r="M2571" s="26">
        <v>0</v>
      </c>
      <c r="N2571" s="26">
        <v>0</v>
      </c>
      <c r="O2571" s="285"/>
      <c r="P2571" s="214">
        <v>2270</v>
      </c>
      <c r="Q2571" s="215">
        <v>40</v>
      </c>
      <c r="R2571" s="216" t="s">
        <v>1818</v>
      </c>
      <c r="S2571" s="217" t="s">
        <v>1819</v>
      </c>
      <c r="T2571" s="218">
        <v>0</v>
      </c>
      <c r="U2571" s="218">
        <v>0</v>
      </c>
      <c r="V2571" s="219">
        <v>0</v>
      </c>
      <c r="W2571" s="219">
        <v>0</v>
      </c>
    </row>
    <row r="2572" spans="1:23" ht="15" customHeight="1">
      <c r="C2572" s="3">
        <v>40</v>
      </c>
      <c r="D2572" s="14" t="s">
        <v>2500</v>
      </c>
      <c r="E2572" s="312" t="s">
        <v>2498</v>
      </c>
      <c r="F2572" s="14"/>
      <c r="G2572" s="26">
        <v>0</v>
      </c>
      <c r="H2572" s="26">
        <v>0</v>
      </c>
      <c r="I2572" s="26">
        <v>0</v>
      </c>
      <c r="J2572" s="26">
        <v>0</v>
      </c>
      <c r="K2572" s="26">
        <v>0</v>
      </c>
      <c r="L2572" s="26">
        <v>0</v>
      </c>
      <c r="M2572" s="26">
        <v>0</v>
      </c>
      <c r="N2572" s="26">
        <v>0</v>
      </c>
      <c r="O2572" s="285"/>
      <c r="P2572" s="214">
        <v>2271</v>
      </c>
      <c r="Q2572" s="215">
        <v>40</v>
      </c>
      <c r="R2572" s="216" t="s">
        <v>2500</v>
      </c>
      <c r="S2572" s="217" t="s">
        <v>2498</v>
      </c>
      <c r="T2572" s="218">
        <v>0</v>
      </c>
      <c r="U2572" s="218">
        <v>0</v>
      </c>
      <c r="V2572" s="219">
        <v>0</v>
      </c>
      <c r="W2572" s="219">
        <v>0</v>
      </c>
    </row>
    <row r="2573" spans="1:23" ht="15" customHeight="1">
      <c r="C2573" s="3">
        <v>40</v>
      </c>
      <c r="D2573" s="15" t="s">
        <v>2640</v>
      </c>
      <c r="E2573" s="315" t="s">
        <v>2641</v>
      </c>
      <c r="F2573" s="14"/>
      <c r="G2573" s="26"/>
      <c r="H2573" s="26"/>
      <c r="I2573" s="26"/>
      <c r="J2573" s="26"/>
      <c r="K2573" s="26"/>
      <c r="L2573" s="26"/>
      <c r="M2573" s="26"/>
      <c r="N2573" s="26"/>
      <c r="O2573" s="306"/>
      <c r="P2573" s="214">
        <v>2272</v>
      </c>
      <c r="Q2573" s="215">
        <v>40</v>
      </c>
      <c r="R2573" s="216" t="s">
        <v>2640</v>
      </c>
      <c r="S2573" s="217" t="s">
        <v>2641</v>
      </c>
      <c r="T2573" s="218">
        <v>0</v>
      </c>
      <c r="U2573" s="218">
        <v>0</v>
      </c>
      <c r="V2573" s="219">
        <v>0</v>
      </c>
      <c r="W2573" s="219">
        <v>0</v>
      </c>
    </row>
    <row r="2574" spans="1:23" ht="15" customHeight="1">
      <c r="C2574" s="3">
        <v>40</v>
      </c>
      <c r="G2574" s="26"/>
      <c r="H2574" s="26"/>
      <c r="I2574" s="26"/>
      <c r="J2574" s="26"/>
      <c r="K2574" s="26"/>
      <c r="L2574" s="26"/>
      <c r="M2574" s="26"/>
      <c r="N2574" s="26"/>
      <c r="P2574" s="214">
        <v>2273</v>
      </c>
      <c r="Q2574" s="215">
        <v>40</v>
      </c>
      <c r="R2574" s="216" t="s">
        <v>2623</v>
      </c>
      <c r="S2574" s="217"/>
      <c r="T2574" s="218"/>
      <c r="U2574" s="218"/>
      <c r="V2574" s="219"/>
      <c r="W2574" s="219"/>
    </row>
    <row r="2575" spans="1:23" s="66" customFormat="1" ht="15" customHeight="1">
      <c r="A2575" s="65" t="s">
        <v>2411</v>
      </c>
      <c r="B2575" s="66" t="s">
        <v>2317</v>
      </c>
      <c r="C2575" s="3">
        <v>40</v>
      </c>
      <c r="D2575" s="323" t="s">
        <v>2374</v>
      </c>
      <c r="E2575" s="337"/>
      <c r="F2575" s="338"/>
      <c r="G2575" s="322">
        <f>SUM(G2560:G2574)</f>
        <v>0</v>
      </c>
      <c r="H2575" s="322">
        <f t="shared" ref="H2575:N2575" si="227">SUM(H2560:H2574)</f>
        <v>0</v>
      </c>
      <c r="I2575" s="322">
        <f t="shared" si="227"/>
        <v>52765</v>
      </c>
      <c r="J2575" s="322">
        <f t="shared" si="227"/>
        <v>70369</v>
      </c>
      <c r="K2575" s="322">
        <f t="shared" si="227"/>
        <v>0</v>
      </c>
      <c r="L2575" s="322">
        <f t="shared" si="227"/>
        <v>1000</v>
      </c>
      <c r="M2575" s="322">
        <f t="shared" si="227"/>
        <v>0</v>
      </c>
      <c r="N2575" s="322">
        <f t="shared" si="227"/>
        <v>0</v>
      </c>
      <c r="O2575" s="298"/>
      <c r="P2575" s="214">
        <v>2274</v>
      </c>
      <c r="Q2575" s="215">
        <v>40</v>
      </c>
      <c r="R2575" s="216" t="s">
        <v>2639</v>
      </c>
      <c r="S2575" s="217"/>
      <c r="T2575" s="218">
        <v>0</v>
      </c>
      <c r="U2575" s="218">
        <v>0</v>
      </c>
      <c r="V2575" s="219">
        <v>1000</v>
      </c>
      <c r="W2575" s="219">
        <v>0</v>
      </c>
    </row>
    <row r="2576" spans="1:23" ht="15" customHeight="1">
      <c r="C2576" s="3">
        <v>40</v>
      </c>
      <c r="G2576" s="26"/>
      <c r="H2576" s="26"/>
      <c r="I2576" s="26"/>
      <c r="J2576" s="26"/>
      <c r="K2576" s="26"/>
      <c r="L2576" s="26"/>
      <c r="M2576" s="26"/>
      <c r="N2576" s="26"/>
      <c r="P2576" s="214">
        <v>2275</v>
      </c>
      <c r="Q2576" s="215">
        <v>40</v>
      </c>
      <c r="R2576" s="216" t="s">
        <v>2623</v>
      </c>
      <c r="S2576" s="217"/>
      <c r="T2576" s="218"/>
      <c r="U2576" s="218"/>
      <c r="V2576" s="219"/>
      <c r="W2576" s="219"/>
    </row>
    <row r="2577" spans="1:23" s="43" customFormat="1" ht="15" customHeight="1" thickBot="1">
      <c r="A2577" s="2"/>
      <c r="B2577" s="2" t="s">
        <v>2317</v>
      </c>
      <c r="C2577" s="3">
        <v>40</v>
      </c>
      <c r="D2577" s="68" t="s">
        <v>2375</v>
      </c>
      <c r="E2577" s="326"/>
      <c r="F2577" s="327"/>
      <c r="G2577" s="328">
        <f>+G2575</f>
        <v>0</v>
      </c>
      <c r="H2577" s="328">
        <f t="shared" ref="H2577:N2577" si="228">+H2575</f>
        <v>0</v>
      </c>
      <c r="I2577" s="328">
        <f t="shared" si="228"/>
        <v>52765</v>
      </c>
      <c r="J2577" s="328">
        <f t="shared" si="228"/>
        <v>70369</v>
      </c>
      <c r="K2577" s="328">
        <f t="shared" si="228"/>
        <v>0</v>
      </c>
      <c r="L2577" s="328">
        <f t="shared" si="228"/>
        <v>1000</v>
      </c>
      <c r="M2577" s="328">
        <f t="shared" si="228"/>
        <v>0</v>
      </c>
      <c r="N2577" s="328">
        <f t="shared" si="228"/>
        <v>0</v>
      </c>
      <c r="O2577" s="288"/>
      <c r="P2577" s="214">
        <v>2276</v>
      </c>
      <c r="Q2577" s="215">
        <v>40</v>
      </c>
      <c r="R2577" s="216" t="s">
        <v>8</v>
      </c>
      <c r="S2577" s="217"/>
      <c r="T2577" s="218">
        <v>0</v>
      </c>
      <c r="U2577" s="218">
        <v>0</v>
      </c>
      <c r="V2577" s="219">
        <v>1000</v>
      </c>
      <c r="W2577" s="219">
        <v>0</v>
      </c>
    </row>
    <row r="2578" spans="1:23" s="45" customFormat="1" ht="15" customHeight="1" thickTop="1">
      <c r="A2578" s="2"/>
      <c r="B2578" s="2"/>
      <c r="C2578" s="3">
        <v>40</v>
      </c>
      <c r="D2578" s="47"/>
      <c r="E2578" s="15"/>
      <c r="F2578" s="105"/>
      <c r="G2578" s="26"/>
      <c r="H2578" s="26"/>
      <c r="I2578" s="26"/>
      <c r="J2578" s="26"/>
      <c r="K2578" s="26"/>
      <c r="L2578" s="26"/>
      <c r="M2578" s="26"/>
      <c r="N2578" s="26"/>
      <c r="O2578" s="275"/>
      <c r="P2578" s="228"/>
      <c r="Q2578" s="228"/>
      <c r="R2578" s="228"/>
      <c r="S2578" s="228"/>
      <c r="T2578" s="228"/>
      <c r="U2578" s="228"/>
      <c r="V2578" s="228"/>
      <c r="W2578" s="228"/>
    </row>
    <row r="2579" spans="1:23" ht="15" customHeight="1">
      <c r="C2579" s="3">
        <v>40</v>
      </c>
      <c r="D2579" s="47" t="s">
        <v>2376</v>
      </c>
      <c r="G2579" s="26"/>
      <c r="H2579" s="26"/>
      <c r="I2579" s="26"/>
      <c r="J2579" s="26"/>
      <c r="K2579" s="26"/>
      <c r="L2579" s="26"/>
      <c r="M2579" s="26"/>
      <c r="N2579" s="26"/>
      <c r="P2579" s="214">
        <v>2277</v>
      </c>
      <c r="Q2579" s="215">
        <v>40</v>
      </c>
      <c r="R2579" s="216" t="s">
        <v>2639</v>
      </c>
      <c r="S2579" s="217"/>
      <c r="T2579" s="218"/>
      <c r="U2579" s="218"/>
      <c r="V2579" s="219"/>
      <c r="W2579" s="219"/>
    </row>
    <row r="2580" spans="1:23" ht="15" customHeight="1">
      <c r="C2580" s="3">
        <v>40</v>
      </c>
      <c r="G2580" s="26"/>
      <c r="H2580" s="26"/>
      <c r="I2580" s="26"/>
      <c r="J2580" s="26"/>
      <c r="K2580" s="26"/>
      <c r="L2580" s="26"/>
      <c r="M2580" s="26"/>
      <c r="N2580" s="26"/>
      <c r="P2580" s="214">
        <v>2278</v>
      </c>
      <c r="Q2580" s="215">
        <v>40</v>
      </c>
      <c r="R2580" s="216" t="s">
        <v>2634</v>
      </c>
      <c r="S2580" s="217"/>
      <c r="T2580" s="218"/>
      <c r="U2580" s="218"/>
      <c r="V2580" s="219"/>
      <c r="W2580" s="219"/>
    </row>
    <row r="2581" spans="1:23" ht="15" customHeight="1">
      <c r="C2581" s="3">
        <v>40</v>
      </c>
      <c r="D2581" s="14" t="s">
        <v>2499</v>
      </c>
      <c r="E2581" s="312" t="s">
        <v>2495</v>
      </c>
      <c r="F2581" s="14"/>
      <c r="G2581" s="26">
        <v>0</v>
      </c>
      <c r="H2581" s="26">
        <v>0</v>
      </c>
      <c r="I2581" s="26">
        <v>0</v>
      </c>
      <c r="J2581" s="26">
        <v>0</v>
      </c>
      <c r="K2581" s="26">
        <v>0</v>
      </c>
      <c r="L2581" s="26">
        <v>0</v>
      </c>
      <c r="M2581" s="26">
        <v>0</v>
      </c>
      <c r="N2581" s="26">
        <v>0</v>
      </c>
      <c r="O2581" s="285"/>
      <c r="P2581" s="214">
        <v>2279</v>
      </c>
      <c r="Q2581" s="215">
        <v>40</v>
      </c>
      <c r="R2581" s="216" t="s">
        <v>2499</v>
      </c>
      <c r="S2581" s="217" t="s">
        <v>2495</v>
      </c>
      <c r="T2581" s="218">
        <v>0</v>
      </c>
      <c r="U2581" s="218">
        <v>0</v>
      </c>
      <c r="V2581" s="219">
        <v>0</v>
      </c>
      <c r="W2581" s="219">
        <v>0</v>
      </c>
    </row>
    <row r="2582" spans="1:23" ht="15" customHeight="1">
      <c r="C2582" s="3">
        <v>40</v>
      </c>
      <c r="D2582" s="15" t="s">
        <v>1820</v>
      </c>
      <c r="E2582" s="312" t="s">
        <v>1821</v>
      </c>
      <c r="G2582" s="26">
        <v>0</v>
      </c>
      <c r="H2582" s="26">
        <v>0</v>
      </c>
      <c r="I2582" s="26">
        <v>15532</v>
      </c>
      <c r="J2582" s="26">
        <v>0</v>
      </c>
      <c r="K2582" s="26">
        <v>0</v>
      </c>
      <c r="L2582" s="26">
        <v>0</v>
      </c>
      <c r="M2582" s="26">
        <v>0</v>
      </c>
      <c r="N2582" s="26">
        <v>0</v>
      </c>
      <c r="O2582" s="285"/>
      <c r="P2582" s="214">
        <v>2280</v>
      </c>
      <c r="Q2582" s="215">
        <v>40</v>
      </c>
      <c r="R2582" s="216" t="s">
        <v>1820</v>
      </c>
      <c r="S2582" s="217" t="s">
        <v>1821</v>
      </c>
      <c r="T2582" s="218">
        <v>0</v>
      </c>
      <c r="U2582" s="218">
        <v>0</v>
      </c>
      <c r="V2582" s="219">
        <v>0</v>
      </c>
      <c r="W2582" s="219">
        <v>0</v>
      </c>
    </row>
    <row r="2583" spans="1:23" ht="15" customHeight="1">
      <c r="C2583" s="3">
        <v>40</v>
      </c>
      <c r="D2583" s="15" t="s">
        <v>1822</v>
      </c>
      <c r="E2583" s="312" t="s">
        <v>1823</v>
      </c>
      <c r="G2583" s="26">
        <v>0</v>
      </c>
      <c r="H2583" s="26">
        <v>0</v>
      </c>
      <c r="I2583" s="26">
        <v>654</v>
      </c>
      <c r="J2583" s="26">
        <v>9124</v>
      </c>
      <c r="K2583" s="26">
        <v>0</v>
      </c>
      <c r="L2583" s="26">
        <v>0</v>
      </c>
      <c r="M2583" s="26">
        <v>0</v>
      </c>
      <c r="N2583" s="26">
        <v>0</v>
      </c>
      <c r="O2583" s="285"/>
      <c r="P2583" s="214">
        <v>2281</v>
      </c>
      <c r="Q2583" s="215">
        <v>40</v>
      </c>
      <c r="R2583" s="216" t="s">
        <v>1822</v>
      </c>
      <c r="S2583" s="217" t="s">
        <v>1823</v>
      </c>
      <c r="T2583" s="218">
        <v>0</v>
      </c>
      <c r="U2583" s="218">
        <v>0</v>
      </c>
      <c r="V2583" s="219">
        <v>0</v>
      </c>
      <c r="W2583" s="219">
        <v>0</v>
      </c>
    </row>
    <row r="2584" spans="1:23" ht="15" customHeight="1">
      <c r="C2584" s="3">
        <v>40</v>
      </c>
      <c r="D2584" s="15" t="s">
        <v>1824</v>
      </c>
      <c r="E2584" s="312" t="s">
        <v>1825</v>
      </c>
      <c r="G2584" s="26">
        <v>0</v>
      </c>
      <c r="H2584" s="26">
        <v>0</v>
      </c>
      <c r="I2584" s="26">
        <v>0</v>
      </c>
      <c r="J2584" s="26">
        <v>0</v>
      </c>
      <c r="K2584" s="26">
        <v>0</v>
      </c>
      <c r="L2584" s="26">
        <v>0</v>
      </c>
      <c r="M2584" s="26">
        <v>0</v>
      </c>
      <c r="N2584" s="26">
        <v>0</v>
      </c>
      <c r="O2584" s="285"/>
      <c r="P2584" s="214">
        <v>2282</v>
      </c>
      <c r="Q2584" s="215">
        <v>40</v>
      </c>
      <c r="R2584" s="216" t="s">
        <v>1824</v>
      </c>
      <c r="S2584" s="217" t="s">
        <v>1825</v>
      </c>
      <c r="T2584" s="218">
        <v>0</v>
      </c>
      <c r="U2584" s="218">
        <v>0</v>
      </c>
      <c r="V2584" s="219">
        <v>0</v>
      </c>
      <c r="W2584" s="219">
        <v>0</v>
      </c>
    </row>
    <row r="2585" spans="1:23" ht="15" customHeight="1">
      <c r="C2585" s="3">
        <v>40</v>
      </c>
      <c r="D2585" s="15" t="s">
        <v>1826</v>
      </c>
      <c r="E2585" s="312" t="s">
        <v>1827</v>
      </c>
      <c r="G2585" s="26">
        <v>0</v>
      </c>
      <c r="H2585" s="26">
        <v>0</v>
      </c>
      <c r="I2585" s="26">
        <v>0</v>
      </c>
      <c r="J2585" s="26">
        <v>8864</v>
      </c>
      <c r="K2585" s="26">
        <v>0</v>
      </c>
      <c r="L2585" s="26">
        <v>1257</v>
      </c>
      <c r="M2585" s="26">
        <v>0</v>
      </c>
      <c r="N2585" s="26">
        <v>0</v>
      </c>
      <c r="O2585" s="285"/>
      <c r="P2585" s="214">
        <v>2283</v>
      </c>
      <c r="Q2585" s="215">
        <v>40</v>
      </c>
      <c r="R2585" s="216" t="s">
        <v>1826</v>
      </c>
      <c r="S2585" s="217" t="s">
        <v>1827</v>
      </c>
      <c r="T2585" s="218">
        <v>0</v>
      </c>
      <c r="U2585" s="218">
        <v>0</v>
      </c>
      <c r="V2585" s="219">
        <v>1256.5899999999999</v>
      </c>
      <c r="W2585" s="219">
        <v>0</v>
      </c>
    </row>
    <row r="2586" spans="1:23" ht="15" customHeight="1">
      <c r="C2586" s="3">
        <v>40</v>
      </c>
      <c r="D2586" s="15" t="s">
        <v>1828</v>
      </c>
      <c r="E2586" s="312" t="s">
        <v>1829</v>
      </c>
      <c r="G2586" s="26">
        <v>0</v>
      </c>
      <c r="H2586" s="26">
        <v>0</v>
      </c>
      <c r="I2586" s="26">
        <v>772</v>
      </c>
      <c r="J2586" s="26">
        <v>0</v>
      </c>
      <c r="K2586" s="26">
        <v>0</v>
      </c>
      <c r="L2586" s="26">
        <v>0</v>
      </c>
      <c r="M2586" s="26">
        <v>0</v>
      </c>
      <c r="N2586" s="26">
        <v>0</v>
      </c>
      <c r="O2586" s="285"/>
      <c r="P2586" s="214">
        <v>2284</v>
      </c>
      <c r="Q2586" s="215">
        <v>40</v>
      </c>
      <c r="R2586" s="216" t="s">
        <v>1828</v>
      </c>
      <c r="S2586" s="217" t="s">
        <v>1829</v>
      </c>
      <c r="T2586" s="218">
        <v>0</v>
      </c>
      <c r="U2586" s="218">
        <v>0</v>
      </c>
      <c r="V2586" s="219">
        <v>0</v>
      </c>
      <c r="W2586" s="219">
        <v>0</v>
      </c>
    </row>
    <row r="2587" spans="1:23" ht="15" customHeight="1">
      <c r="C2587" s="3">
        <v>40</v>
      </c>
      <c r="D2587" s="15" t="s">
        <v>1830</v>
      </c>
      <c r="E2587" s="312" t="s">
        <v>1831</v>
      </c>
      <c r="G2587" s="26">
        <v>0</v>
      </c>
      <c r="H2587" s="26">
        <v>0</v>
      </c>
      <c r="I2587" s="26">
        <v>0</v>
      </c>
      <c r="J2587" s="26">
        <v>847</v>
      </c>
      <c r="K2587" s="26">
        <v>0</v>
      </c>
      <c r="L2587" s="26">
        <v>0</v>
      </c>
      <c r="M2587" s="26">
        <v>0</v>
      </c>
      <c r="N2587" s="26">
        <v>0</v>
      </c>
      <c r="O2587" s="285"/>
      <c r="P2587" s="214">
        <v>2285</v>
      </c>
      <c r="Q2587" s="215">
        <v>40</v>
      </c>
      <c r="R2587" s="216" t="s">
        <v>1830</v>
      </c>
      <c r="S2587" s="217" t="s">
        <v>1831</v>
      </c>
      <c r="T2587" s="218">
        <v>0</v>
      </c>
      <c r="U2587" s="218">
        <v>0</v>
      </c>
      <c r="V2587" s="219">
        <v>0</v>
      </c>
      <c r="W2587" s="219">
        <v>0</v>
      </c>
    </row>
    <row r="2588" spans="1:23" ht="15" customHeight="1">
      <c r="C2588" s="3">
        <v>40</v>
      </c>
      <c r="D2588" s="15" t="s">
        <v>1832</v>
      </c>
      <c r="E2588" s="312" t="s">
        <v>1833</v>
      </c>
      <c r="G2588" s="26">
        <v>0</v>
      </c>
      <c r="H2588" s="26">
        <v>0</v>
      </c>
      <c r="I2588" s="26">
        <v>2000</v>
      </c>
      <c r="J2588" s="26">
        <v>33730</v>
      </c>
      <c r="K2588" s="26">
        <v>0</v>
      </c>
      <c r="L2588" s="26">
        <v>0</v>
      </c>
      <c r="M2588" s="26">
        <v>0</v>
      </c>
      <c r="N2588" s="26">
        <v>0</v>
      </c>
      <c r="O2588" s="285"/>
      <c r="P2588" s="214">
        <v>2286</v>
      </c>
      <c r="Q2588" s="215">
        <v>40</v>
      </c>
      <c r="R2588" s="216" t="s">
        <v>1832</v>
      </c>
      <c r="S2588" s="217" t="s">
        <v>1833</v>
      </c>
      <c r="T2588" s="218">
        <v>0</v>
      </c>
      <c r="U2588" s="218">
        <v>0</v>
      </c>
      <c r="V2588" s="219">
        <v>0</v>
      </c>
      <c r="W2588" s="219">
        <v>0</v>
      </c>
    </row>
    <row r="2589" spans="1:23" ht="15" customHeight="1">
      <c r="C2589" s="3">
        <v>40</v>
      </c>
      <c r="D2589" s="15" t="s">
        <v>1834</v>
      </c>
      <c r="E2589" s="312" t="s">
        <v>2496</v>
      </c>
      <c r="G2589" s="26">
        <v>0</v>
      </c>
      <c r="H2589" s="26">
        <v>0</v>
      </c>
      <c r="I2589" s="26">
        <v>0</v>
      </c>
      <c r="J2589" s="26">
        <v>1870</v>
      </c>
      <c r="K2589" s="26">
        <v>0</v>
      </c>
      <c r="L2589" s="26">
        <v>-14457</v>
      </c>
      <c r="M2589" s="26">
        <v>0</v>
      </c>
      <c r="N2589" s="26">
        <v>0</v>
      </c>
      <c r="O2589" s="285"/>
      <c r="P2589" s="214">
        <v>2287</v>
      </c>
      <c r="Q2589" s="215">
        <v>40</v>
      </c>
      <c r="R2589" s="216" t="s">
        <v>1834</v>
      </c>
      <c r="S2589" s="217" t="s">
        <v>2496</v>
      </c>
      <c r="T2589" s="218">
        <v>0</v>
      </c>
      <c r="U2589" s="218">
        <v>-380</v>
      </c>
      <c r="V2589" s="219">
        <v>-14836.95</v>
      </c>
      <c r="W2589" s="219">
        <v>0</v>
      </c>
    </row>
    <row r="2590" spans="1:23" ht="15" customHeight="1">
      <c r="C2590" s="3">
        <v>40</v>
      </c>
      <c r="D2590" s="15" t="s">
        <v>1835</v>
      </c>
      <c r="E2590" s="312" t="s">
        <v>1836</v>
      </c>
      <c r="G2590" s="26">
        <v>0</v>
      </c>
      <c r="H2590" s="26">
        <v>0</v>
      </c>
      <c r="I2590" s="26">
        <v>0</v>
      </c>
      <c r="J2590" s="26">
        <v>871</v>
      </c>
      <c r="K2590" s="26">
        <v>0</v>
      </c>
      <c r="L2590" s="26">
        <v>0</v>
      </c>
      <c r="M2590" s="26">
        <v>0</v>
      </c>
      <c r="N2590" s="26">
        <v>0</v>
      </c>
      <c r="O2590" s="285"/>
      <c r="P2590" s="214">
        <v>2288</v>
      </c>
      <c r="Q2590" s="215">
        <v>40</v>
      </c>
      <c r="R2590" s="216" t="s">
        <v>1835</v>
      </c>
      <c r="S2590" s="217" t="s">
        <v>1836</v>
      </c>
      <c r="T2590" s="218">
        <v>0</v>
      </c>
      <c r="U2590" s="218">
        <v>0</v>
      </c>
      <c r="V2590" s="219">
        <v>0</v>
      </c>
      <c r="W2590" s="219">
        <v>0</v>
      </c>
    </row>
    <row r="2591" spans="1:23" ht="15" customHeight="1">
      <c r="C2591" s="3">
        <v>40</v>
      </c>
      <c r="D2591" s="15" t="s">
        <v>2642</v>
      </c>
      <c r="E2591" s="315" t="s">
        <v>2643</v>
      </c>
      <c r="G2591" s="26"/>
      <c r="H2591" s="26"/>
      <c r="I2591" s="26"/>
      <c r="J2591" s="26"/>
      <c r="K2591" s="26"/>
      <c r="L2591" s="26"/>
      <c r="M2591" s="26"/>
      <c r="N2591" s="26"/>
      <c r="O2591" s="306"/>
      <c r="P2591" s="214">
        <v>2289</v>
      </c>
      <c r="Q2591" s="215">
        <v>40</v>
      </c>
      <c r="R2591" s="216" t="s">
        <v>2642</v>
      </c>
      <c r="S2591" s="217" t="s">
        <v>2643</v>
      </c>
      <c r="T2591" s="218">
        <v>0</v>
      </c>
      <c r="U2591" s="218">
        <v>0</v>
      </c>
      <c r="V2591" s="219">
        <v>0</v>
      </c>
      <c r="W2591" s="219">
        <v>0</v>
      </c>
    </row>
    <row r="2592" spans="1:23" ht="15" customHeight="1">
      <c r="C2592" s="3">
        <v>40</v>
      </c>
      <c r="G2592" s="26"/>
      <c r="H2592" s="26"/>
      <c r="I2592" s="26"/>
      <c r="J2592" s="26"/>
      <c r="K2592" s="26"/>
      <c r="L2592" s="26"/>
      <c r="M2592" s="26"/>
      <c r="N2592" s="26"/>
      <c r="P2592" s="214">
        <v>2290</v>
      </c>
      <c r="Q2592" s="215">
        <v>40</v>
      </c>
      <c r="R2592" s="216" t="s">
        <v>2623</v>
      </c>
      <c r="S2592" s="217"/>
      <c r="T2592" s="218"/>
      <c r="U2592" s="218"/>
      <c r="V2592" s="219"/>
      <c r="W2592" s="219"/>
    </row>
    <row r="2593" spans="1:23" s="66" customFormat="1" ht="15" customHeight="1">
      <c r="A2593" s="65" t="s">
        <v>2411</v>
      </c>
      <c r="B2593" s="66" t="s">
        <v>2317</v>
      </c>
      <c r="C2593" s="3">
        <v>40</v>
      </c>
      <c r="D2593" s="323" t="s">
        <v>2376</v>
      </c>
      <c r="E2593" s="337"/>
      <c r="F2593" s="338"/>
      <c r="G2593" s="322">
        <f>SUM(G2579:G2592)</f>
        <v>0</v>
      </c>
      <c r="H2593" s="322">
        <f t="shared" ref="H2593:N2593" si="229">SUM(H2579:H2592)</f>
        <v>0</v>
      </c>
      <c r="I2593" s="322">
        <f t="shared" si="229"/>
        <v>18958</v>
      </c>
      <c r="J2593" s="322">
        <f t="shared" si="229"/>
        <v>55306</v>
      </c>
      <c r="K2593" s="322">
        <f t="shared" si="229"/>
        <v>0</v>
      </c>
      <c r="L2593" s="322">
        <f t="shared" si="229"/>
        <v>-13200</v>
      </c>
      <c r="M2593" s="322">
        <f t="shared" si="229"/>
        <v>0</v>
      </c>
      <c r="N2593" s="322">
        <f t="shared" si="229"/>
        <v>0</v>
      </c>
      <c r="O2593" s="298"/>
      <c r="P2593" s="214">
        <v>2291</v>
      </c>
      <c r="Q2593" s="215">
        <v>40</v>
      </c>
      <c r="R2593" s="216" t="s">
        <v>2639</v>
      </c>
      <c r="S2593" s="217"/>
      <c r="T2593" s="218">
        <v>0</v>
      </c>
      <c r="U2593" s="218">
        <v>-380</v>
      </c>
      <c r="V2593" s="219">
        <v>-13580.36</v>
      </c>
      <c r="W2593" s="219">
        <v>0</v>
      </c>
    </row>
    <row r="2594" spans="1:23" ht="15" customHeight="1">
      <c r="C2594" s="3">
        <v>40</v>
      </c>
      <c r="G2594" s="26"/>
      <c r="H2594" s="26"/>
      <c r="I2594" s="26"/>
      <c r="J2594" s="26"/>
      <c r="K2594" s="26"/>
      <c r="L2594" s="26"/>
      <c r="M2594" s="26"/>
      <c r="N2594" s="26"/>
      <c r="P2594" s="214">
        <v>2292</v>
      </c>
      <c r="Q2594" s="215">
        <v>40</v>
      </c>
      <c r="R2594" s="216" t="s">
        <v>2623</v>
      </c>
      <c r="S2594" s="217"/>
      <c r="T2594" s="218"/>
      <c r="U2594" s="218"/>
      <c r="V2594" s="219"/>
      <c r="W2594" s="219"/>
    </row>
    <row r="2595" spans="1:23" s="43" customFormat="1" ht="15" customHeight="1" thickBot="1">
      <c r="A2595" s="2"/>
      <c r="B2595" s="2" t="s">
        <v>2317</v>
      </c>
      <c r="C2595" s="3">
        <v>40</v>
      </c>
      <c r="D2595" s="68" t="s">
        <v>2377</v>
      </c>
      <c r="E2595" s="326"/>
      <c r="F2595" s="327"/>
      <c r="G2595" s="328">
        <f>+G2593</f>
        <v>0</v>
      </c>
      <c r="H2595" s="328">
        <f t="shared" ref="H2595:N2595" si="230">+H2593</f>
        <v>0</v>
      </c>
      <c r="I2595" s="328">
        <f t="shared" si="230"/>
        <v>18958</v>
      </c>
      <c r="J2595" s="328">
        <f t="shared" si="230"/>
        <v>55306</v>
      </c>
      <c r="K2595" s="328">
        <f t="shared" si="230"/>
        <v>0</v>
      </c>
      <c r="L2595" s="328">
        <f t="shared" si="230"/>
        <v>-13200</v>
      </c>
      <c r="M2595" s="328">
        <f t="shared" si="230"/>
        <v>0</v>
      </c>
      <c r="N2595" s="328">
        <f t="shared" si="230"/>
        <v>0</v>
      </c>
      <c r="O2595" s="288"/>
      <c r="P2595" s="214">
        <v>2293</v>
      </c>
      <c r="Q2595" s="215">
        <v>40</v>
      </c>
      <c r="R2595" s="216" t="s">
        <v>9</v>
      </c>
      <c r="S2595" s="217"/>
      <c r="T2595" s="218">
        <v>0</v>
      </c>
      <c r="U2595" s="218">
        <v>-380</v>
      </c>
      <c r="V2595" s="219">
        <v>-13580.36</v>
      </c>
      <c r="W2595" s="219">
        <v>0</v>
      </c>
    </row>
    <row r="2596" spans="1:23" s="45" customFormat="1" ht="15" customHeight="1" thickTop="1">
      <c r="A2596" s="2"/>
      <c r="B2596" s="2"/>
      <c r="C2596" s="3">
        <v>40</v>
      </c>
      <c r="D2596" s="47"/>
      <c r="E2596" s="15"/>
      <c r="F2596" s="105"/>
      <c r="G2596" s="26"/>
      <c r="H2596" s="26"/>
      <c r="I2596" s="26"/>
      <c r="J2596" s="26"/>
      <c r="K2596" s="26"/>
      <c r="L2596" s="26"/>
      <c r="M2596" s="26"/>
      <c r="N2596" s="26"/>
      <c r="O2596" s="275"/>
      <c r="P2596" s="228"/>
      <c r="Q2596" s="228"/>
      <c r="R2596" s="228"/>
      <c r="S2596" s="228"/>
      <c r="T2596" s="228"/>
      <c r="U2596" s="228"/>
      <c r="V2596" s="228"/>
      <c r="W2596" s="228"/>
    </row>
    <row r="2597" spans="1:23" ht="15" customHeight="1">
      <c r="C2597" s="3">
        <v>40</v>
      </c>
      <c r="D2597" s="47" t="s">
        <v>2378</v>
      </c>
      <c r="G2597" s="26"/>
      <c r="H2597" s="26"/>
      <c r="I2597" s="26"/>
      <c r="J2597" s="26"/>
      <c r="K2597" s="26"/>
      <c r="L2597" s="26"/>
      <c r="M2597" s="26"/>
      <c r="N2597" s="26"/>
      <c r="P2597" s="214">
        <v>2294</v>
      </c>
      <c r="Q2597" s="215">
        <v>40</v>
      </c>
      <c r="R2597" s="216" t="s">
        <v>2639</v>
      </c>
      <c r="S2597" s="217"/>
      <c r="T2597" s="218"/>
      <c r="U2597" s="218"/>
      <c r="V2597" s="219"/>
      <c r="W2597" s="219"/>
    </row>
    <row r="2598" spans="1:23" ht="15" customHeight="1">
      <c r="C2598" s="3">
        <v>40</v>
      </c>
      <c r="G2598" s="26"/>
      <c r="H2598" s="26"/>
      <c r="I2598" s="26"/>
      <c r="J2598" s="26"/>
      <c r="K2598" s="26"/>
      <c r="L2598" s="26"/>
      <c r="M2598" s="26"/>
      <c r="N2598" s="26"/>
      <c r="P2598" s="214">
        <v>2295</v>
      </c>
      <c r="Q2598" s="215">
        <v>40</v>
      </c>
      <c r="R2598" s="216" t="s">
        <v>2634</v>
      </c>
      <c r="S2598" s="217"/>
      <c r="T2598" s="218"/>
      <c r="U2598" s="218"/>
      <c r="V2598" s="219"/>
      <c r="W2598" s="219"/>
    </row>
    <row r="2599" spans="1:23" ht="15" customHeight="1">
      <c r="C2599" s="3">
        <v>40</v>
      </c>
      <c r="D2599" s="15" t="s">
        <v>1837</v>
      </c>
      <c r="E2599" s="312" t="s">
        <v>1838</v>
      </c>
      <c r="G2599" s="26">
        <v>0</v>
      </c>
      <c r="H2599" s="26">
        <v>0</v>
      </c>
      <c r="I2599" s="26">
        <v>1000</v>
      </c>
      <c r="J2599" s="26">
        <v>0</v>
      </c>
      <c r="K2599" s="26">
        <v>0</v>
      </c>
      <c r="L2599" s="26">
        <v>0</v>
      </c>
      <c r="M2599" s="26">
        <v>0</v>
      </c>
      <c r="N2599" s="26">
        <v>0</v>
      </c>
      <c r="O2599" s="285"/>
      <c r="P2599" s="214">
        <v>2296</v>
      </c>
      <c r="Q2599" s="215">
        <v>40</v>
      </c>
      <c r="R2599" s="216" t="s">
        <v>1837</v>
      </c>
      <c r="S2599" s="217" t="s">
        <v>1838</v>
      </c>
      <c r="T2599" s="218">
        <v>0</v>
      </c>
      <c r="U2599" s="218">
        <v>0</v>
      </c>
      <c r="V2599" s="219">
        <v>0</v>
      </c>
      <c r="W2599" s="219">
        <v>0</v>
      </c>
    </row>
    <row r="2600" spans="1:23" ht="15" customHeight="1">
      <c r="C2600" s="3">
        <v>40</v>
      </c>
      <c r="D2600" s="15" t="s">
        <v>1839</v>
      </c>
      <c r="E2600" s="312" t="s">
        <v>1840</v>
      </c>
      <c r="G2600" s="26">
        <v>0</v>
      </c>
      <c r="H2600" s="26">
        <v>0</v>
      </c>
      <c r="I2600" s="26">
        <v>2328</v>
      </c>
      <c r="J2600" s="26">
        <v>0</v>
      </c>
      <c r="K2600" s="26">
        <v>0</v>
      </c>
      <c r="L2600" s="26">
        <v>0</v>
      </c>
      <c r="M2600" s="26">
        <v>0</v>
      </c>
      <c r="N2600" s="26">
        <v>0</v>
      </c>
      <c r="O2600" s="285"/>
      <c r="P2600" s="214">
        <v>2297</v>
      </c>
      <c r="Q2600" s="215">
        <v>40</v>
      </c>
      <c r="R2600" s="216" t="s">
        <v>1839</v>
      </c>
      <c r="S2600" s="217" t="s">
        <v>1840</v>
      </c>
      <c r="T2600" s="218">
        <v>0</v>
      </c>
      <c r="U2600" s="218">
        <v>0</v>
      </c>
      <c r="V2600" s="219">
        <v>0</v>
      </c>
      <c r="W2600" s="219">
        <v>0</v>
      </c>
    </row>
    <row r="2601" spans="1:23" ht="15" customHeight="1">
      <c r="C2601" s="3">
        <v>40</v>
      </c>
      <c r="D2601" s="14" t="s">
        <v>1841</v>
      </c>
      <c r="E2601" s="312" t="s">
        <v>1842</v>
      </c>
      <c r="G2601" s="26">
        <v>0</v>
      </c>
      <c r="H2601" s="26">
        <v>0</v>
      </c>
      <c r="I2601" s="26">
        <v>3178</v>
      </c>
      <c r="J2601" s="26">
        <v>20374</v>
      </c>
      <c r="K2601" s="26">
        <v>0</v>
      </c>
      <c r="L2601" s="26">
        <v>0</v>
      </c>
      <c r="M2601" s="26">
        <v>0</v>
      </c>
      <c r="N2601" s="26">
        <v>0</v>
      </c>
      <c r="O2601" s="285"/>
      <c r="P2601" s="214">
        <v>2298</v>
      </c>
      <c r="Q2601" s="215">
        <v>40</v>
      </c>
      <c r="R2601" s="216" t="s">
        <v>1841</v>
      </c>
      <c r="S2601" s="217" t="s">
        <v>1842</v>
      </c>
      <c r="T2601" s="218">
        <v>0</v>
      </c>
      <c r="U2601" s="218">
        <v>0</v>
      </c>
      <c r="V2601" s="219">
        <v>0</v>
      </c>
      <c r="W2601" s="219">
        <v>0</v>
      </c>
    </row>
    <row r="2602" spans="1:23" ht="15" customHeight="1">
      <c r="C2602" s="3">
        <v>40</v>
      </c>
      <c r="D2602" s="14" t="s">
        <v>2572</v>
      </c>
      <c r="E2602" s="312" t="s">
        <v>2494</v>
      </c>
      <c r="G2602" s="26">
        <v>0</v>
      </c>
      <c r="H2602" s="26">
        <v>0</v>
      </c>
      <c r="I2602" s="26">
        <v>0</v>
      </c>
      <c r="J2602" s="26">
        <v>0</v>
      </c>
      <c r="K2602" s="26">
        <v>0</v>
      </c>
      <c r="L2602" s="26">
        <v>9492</v>
      </c>
      <c r="M2602" s="26">
        <v>0</v>
      </c>
      <c r="N2602" s="26">
        <v>0</v>
      </c>
      <c r="O2602" s="285"/>
      <c r="P2602" s="214">
        <v>2299</v>
      </c>
      <c r="Q2602" s="215">
        <v>40</v>
      </c>
      <c r="R2602" s="216" t="s">
        <v>2572</v>
      </c>
      <c r="S2602" s="217" t="s">
        <v>2494</v>
      </c>
      <c r="T2602" s="218">
        <v>0</v>
      </c>
      <c r="U2602" s="218">
        <v>0</v>
      </c>
      <c r="V2602" s="219">
        <v>9492.27</v>
      </c>
      <c r="W2602" s="219">
        <v>0</v>
      </c>
    </row>
    <row r="2603" spans="1:23" ht="15" customHeight="1">
      <c r="C2603" s="3">
        <v>40</v>
      </c>
      <c r="G2603" s="26"/>
      <c r="H2603" s="26"/>
      <c r="I2603" s="26"/>
      <c r="J2603" s="26"/>
      <c r="K2603" s="26"/>
      <c r="L2603" s="26"/>
      <c r="M2603" s="26"/>
      <c r="N2603" s="26"/>
      <c r="P2603" s="214">
        <v>2300</v>
      </c>
      <c r="Q2603" s="215">
        <v>40</v>
      </c>
      <c r="R2603" s="216" t="s">
        <v>2623</v>
      </c>
      <c r="S2603" s="217"/>
      <c r="T2603" s="218"/>
      <c r="U2603" s="218"/>
      <c r="V2603" s="219"/>
      <c r="W2603" s="219"/>
    </row>
    <row r="2604" spans="1:23" s="66" customFormat="1" ht="15" customHeight="1">
      <c r="A2604" s="65" t="s">
        <v>2411</v>
      </c>
      <c r="B2604" s="66" t="s">
        <v>2317</v>
      </c>
      <c r="C2604" s="3">
        <v>40</v>
      </c>
      <c r="D2604" s="323" t="s">
        <v>2378</v>
      </c>
      <c r="E2604" s="337"/>
      <c r="F2604" s="338"/>
      <c r="G2604" s="322">
        <f>SUM(G2597:G2603)</f>
        <v>0</v>
      </c>
      <c r="H2604" s="322">
        <f t="shared" ref="H2604:N2604" si="231">SUM(H2597:H2603)</f>
        <v>0</v>
      </c>
      <c r="I2604" s="322">
        <f t="shared" si="231"/>
        <v>6506</v>
      </c>
      <c r="J2604" s="322">
        <f t="shared" si="231"/>
        <v>20374</v>
      </c>
      <c r="K2604" s="322">
        <f t="shared" si="231"/>
        <v>0</v>
      </c>
      <c r="L2604" s="322">
        <f t="shared" si="231"/>
        <v>9492</v>
      </c>
      <c r="M2604" s="322">
        <f t="shared" si="231"/>
        <v>0</v>
      </c>
      <c r="N2604" s="322">
        <f t="shared" si="231"/>
        <v>0</v>
      </c>
      <c r="O2604" s="298"/>
      <c r="P2604" s="214">
        <v>2301</v>
      </c>
      <c r="Q2604" s="215">
        <v>40</v>
      </c>
      <c r="R2604" s="216" t="s">
        <v>2639</v>
      </c>
      <c r="S2604" s="217"/>
      <c r="T2604" s="218">
        <v>0</v>
      </c>
      <c r="U2604" s="218">
        <v>0</v>
      </c>
      <c r="V2604" s="219">
        <v>9492.27</v>
      </c>
      <c r="W2604" s="219">
        <v>0</v>
      </c>
    </row>
    <row r="2605" spans="1:23" ht="15" customHeight="1">
      <c r="C2605" s="3">
        <v>40</v>
      </c>
      <c r="G2605" s="26"/>
      <c r="H2605" s="26"/>
      <c r="I2605" s="26"/>
      <c r="J2605" s="26"/>
      <c r="K2605" s="26"/>
      <c r="L2605" s="26"/>
      <c r="M2605" s="26"/>
      <c r="N2605" s="26"/>
      <c r="P2605" s="214">
        <v>2302</v>
      </c>
      <c r="Q2605" s="215">
        <v>40</v>
      </c>
      <c r="R2605" s="216" t="s">
        <v>2623</v>
      </c>
      <c r="S2605" s="217"/>
      <c r="T2605" s="218"/>
      <c r="U2605" s="218"/>
      <c r="V2605" s="219"/>
      <c r="W2605" s="219"/>
    </row>
    <row r="2606" spans="1:23" s="43" customFormat="1" ht="15" customHeight="1" thickBot="1">
      <c r="A2606" s="2"/>
      <c r="B2606" s="2" t="s">
        <v>2317</v>
      </c>
      <c r="C2606" s="3">
        <v>40</v>
      </c>
      <c r="D2606" s="68" t="s">
        <v>2379</v>
      </c>
      <c r="E2606" s="326"/>
      <c r="F2606" s="327"/>
      <c r="G2606" s="328">
        <f>+G2604</f>
        <v>0</v>
      </c>
      <c r="H2606" s="328">
        <f t="shared" ref="H2606:N2606" si="232">+H2604</f>
        <v>0</v>
      </c>
      <c r="I2606" s="328">
        <f t="shared" si="232"/>
        <v>6506</v>
      </c>
      <c r="J2606" s="328">
        <f t="shared" si="232"/>
        <v>20374</v>
      </c>
      <c r="K2606" s="328">
        <f t="shared" si="232"/>
        <v>0</v>
      </c>
      <c r="L2606" s="328">
        <f t="shared" si="232"/>
        <v>9492</v>
      </c>
      <c r="M2606" s="328">
        <f t="shared" si="232"/>
        <v>0</v>
      </c>
      <c r="N2606" s="328">
        <f t="shared" si="232"/>
        <v>0</v>
      </c>
      <c r="O2606" s="288"/>
      <c r="P2606" s="214">
        <v>2303</v>
      </c>
      <c r="Q2606" s="215">
        <v>40</v>
      </c>
      <c r="R2606" s="216" t="s">
        <v>12</v>
      </c>
      <c r="S2606" s="217"/>
      <c r="T2606" s="218">
        <v>0</v>
      </c>
      <c r="U2606" s="218">
        <v>0</v>
      </c>
      <c r="V2606" s="219">
        <v>9492.27</v>
      </c>
      <c r="W2606" s="219">
        <v>0</v>
      </c>
    </row>
    <row r="2607" spans="1:23" s="45" customFormat="1" ht="15" customHeight="1" thickTop="1">
      <c r="A2607" s="2"/>
      <c r="B2607" s="2"/>
      <c r="C2607" s="3">
        <v>40</v>
      </c>
      <c r="D2607" s="47"/>
      <c r="E2607" s="15"/>
      <c r="F2607" s="105"/>
      <c r="G2607" s="26"/>
      <c r="H2607" s="26"/>
      <c r="I2607" s="26"/>
      <c r="J2607" s="26"/>
      <c r="K2607" s="26"/>
      <c r="L2607" s="26"/>
      <c r="M2607" s="26"/>
      <c r="N2607" s="26"/>
      <c r="O2607" s="275"/>
      <c r="P2607" s="228"/>
      <c r="Q2607" s="228"/>
      <c r="R2607" s="228"/>
      <c r="S2607" s="228"/>
      <c r="T2607" s="228"/>
      <c r="U2607" s="228"/>
      <c r="V2607" s="228"/>
      <c r="W2607" s="228"/>
    </row>
    <row r="2608" spans="1:23" ht="15" customHeight="1">
      <c r="C2608" s="3">
        <v>40</v>
      </c>
      <c r="D2608" s="47" t="s">
        <v>2380</v>
      </c>
      <c r="G2608" s="26"/>
      <c r="H2608" s="26"/>
      <c r="I2608" s="26"/>
      <c r="J2608" s="26"/>
      <c r="K2608" s="26"/>
      <c r="L2608" s="26"/>
      <c r="M2608" s="26"/>
      <c r="N2608" s="26"/>
      <c r="P2608" s="214">
        <v>2304</v>
      </c>
      <c r="Q2608" s="215">
        <v>40</v>
      </c>
      <c r="R2608" s="216" t="s">
        <v>2639</v>
      </c>
      <c r="S2608" s="217"/>
      <c r="T2608" s="218"/>
      <c r="U2608" s="218"/>
      <c r="V2608" s="219"/>
      <c r="W2608" s="219"/>
    </row>
    <row r="2609" spans="1:23" ht="15" customHeight="1">
      <c r="C2609" s="3">
        <v>40</v>
      </c>
      <c r="G2609" s="26"/>
      <c r="H2609" s="26"/>
      <c r="I2609" s="26"/>
      <c r="J2609" s="26"/>
      <c r="K2609" s="26"/>
      <c r="L2609" s="26"/>
      <c r="M2609" s="26"/>
      <c r="N2609" s="26"/>
      <c r="P2609" s="214">
        <v>2305</v>
      </c>
      <c r="Q2609" s="215">
        <v>40</v>
      </c>
      <c r="R2609" s="216" t="s">
        <v>2634</v>
      </c>
      <c r="S2609" s="217"/>
      <c r="T2609" s="218"/>
      <c r="U2609" s="218"/>
      <c r="V2609" s="219"/>
      <c r="W2609" s="219"/>
    </row>
    <row r="2610" spans="1:23" ht="15" customHeight="1">
      <c r="C2610" s="3">
        <v>40</v>
      </c>
      <c r="D2610" s="15" t="s">
        <v>1843</v>
      </c>
      <c r="E2610" s="312" t="s">
        <v>1844</v>
      </c>
      <c r="G2610" s="26">
        <v>0</v>
      </c>
      <c r="H2610" s="26">
        <v>0</v>
      </c>
      <c r="I2610" s="26">
        <v>280</v>
      </c>
      <c r="J2610" s="26">
        <v>4204</v>
      </c>
      <c r="K2610" s="26">
        <v>0</v>
      </c>
      <c r="L2610" s="26">
        <v>0</v>
      </c>
      <c r="M2610" s="26">
        <v>0</v>
      </c>
      <c r="N2610" s="26">
        <v>0</v>
      </c>
      <c r="O2610" s="285"/>
      <c r="P2610" s="214">
        <v>2306</v>
      </c>
      <c r="Q2610" s="215">
        <v>40</v>
      </c>
      <c r="R2610" s="216" t="s">
        <v>1843</v>
      </c>
      <c r="S2610" s="217" t="s">
        <v>1844</v>
      </c>
      <c r="T2610" s="218">
        <v>0</v>
      </c>
      <c r="U2610" s="218">
        <v>0</v>
      </c>
      <c r="V2610" s="219">
        <v>0</v>
      </c>
      <c r="W2610" s="219">
        <v>0</v>
      </c>
    </row>
    <row r="2611" spans="1:23" ht="15" customHeight="1">
      <c r="C2611" s="3">
        <v>40</v>
      </c>
      <c r="D2611" s="14" t="s">
        <v>1845</v>
      </c>
      <c r="E2611" s="312" t="s">
        <v>1846</v>
      </c>
      <c r="G2611" s="26">
        <v>0</v>
      </c>
      <c r="H2611" s="26">
        <v>0</v>
      </c>
      <c r="I2611" s="26">
        <v>43600</v>
      </c>
      <c r="J2611" s="26">
        <v>9872</v>
      </c>
      <c r="K2611" s="26">
        <v>0</v>
      </c>
      <c r="L2611" s="26">
        <v>8989</v>
      </c>
      <c r="M2611" s="26">
        <v>0</v>
      </c>
      <c r="N2611" s="26">
        <v>0</v>
      </c>
      <c r="O2611" s="285"/>
      <c r="P2611" s="214">
        <v>2307</v>
      </c>
      <c r="Q2611" s="215">
        <v>40</v>
      </c>
      <c r="R2611" s="216" t="s">
        <v>1845</v>
      </c>
      <c r="S2611" s="217" t="s">
        <v>1846</v>
      </c>
      <c r="T2611" s="218">
        <v>0</v>
      </c>
      <c r="U2611" s="218">
        <v>0</v>
      </c>
      <c r="V2611" s="219">
        <v>8989.2800000000007</v>
      </c>
      <c r="W2611" s="219">
        <v>0</v>
      </c>
    </row>
    <row r="2612" spans="1:23" ht="15" customHeight="1">
      <c r="C2612" s="3">
        <v>40</v>
      </c>
      <c r="D2612" s="15" t="s">
        <v>1845</v>
      </c>
      <c r="E2612" s="312" t="s">
        <v>1847</v>
      </c>
      <c r="G2612" s="26">
        <v>0</v>
      </c>
      <c r="H2612" s="26">
        <v>0</v>
      </c>
      <c r="I2612" s="26">
        <v>2500</v>
      </c>
      <c r="J2612" s="26">
        <v>0</v>
      </c>
      <c r="K2612" s="26">
        <v>0</v>
      </c>
      <c r="L2612" s="26">
        <v>0</v>
      </c>
      <c r="M2612" s="26">
        <v>0</v>
      </c>
      <c r="N2612" s="26">
        <v>0</v>
      </c>
      <c r="O2612" s="285"/>
      <c r="P2612" s="214">
        <v>2308</v>
      </c>
      <c r="Q2612" s="215">
        <v>40</v>
      </c>
      <c r="R2612" s="216" t="s">
        <v>2644</v>
      </c>
      <c r="S2612" s="217" t="s">
        <v>1847</v>
      </c>
      <c r="T2612" s="218">
        <v>0</v>
      </c>
      <c r="U2612" s="218">
        <v>0</v>
      </c>
      <c r="V2612" s="219">
        <v>0</v>
      </c>
      <c r="W2612" s="219">
        <v>0</v>
      </c>
    </row>
    <row r="2613" spans="1:23" ht="15" customHeight="1">
      <c r="C2613" s="3">
        <v>40</v>
      </c>
      <c r="D2613" s="14" t="s">
        <v>2571</v>
      </c>
      <c r="E2613" s="312" t="s">
        <v>2493</v>
      </c>
      <c r="G2613" s="26">
        <v>0</v>
      </c>
      <c r="H2613" s="26">
        <v>0</v>
      </c>
      <c r="I2613" s="26">
        <v>0</v>
      </c>
      <c r="J2613" s="26">
        <v>0</v>
      </c>
      <c r="K2613" s="26">
        <v>0</v>
      </c>
      <c r="L2613" s="26">
        <v>0</v>
      </c>
      <c r="M2613" s="26">
        <v>0</v>
      </c>
      <c r="N2613" s="26">
        <v>0</v>
      </c>
      <c r="O2613" s="285"/>
      <c r="P2613" s="214">
        <v>2309</v>
      </c>
      <c r="Q2613" s="215">
        <v>40</v>
      </c>
      <c r="R2613" s="216" t="s">
        <v>2571</v>
      </c>
      <c r="S2613" s="217" t="s">
        <v>2493</v>
      </c>
      <c r="T2613" s="218">
        <v>0</v>
      </c>
      <c r="U2613" s="218">
        <v>0</v>
      </c>
      <c r="V2613" s="219">
        <v>0</v>
      </c>
      <c r="W2613" s="219">
        <v>0</v>
      </c>
    </row>
    <row r="2614" spans="1:23" ht="15" customHeight="1">
      <c r="C2614" s="3">
        <v>40</v>
      </c>
      <c r="G2614" s="26"/>
      <c r="H2614" s="26"/>
      <c r="I2614" s="26"/>
      <c r="J2614" s="26"/>
      <c r="K2614" s="26"/>
      <c r="L2614" s="26"/>
      <c r="M2614" s="26"/>
      <c r="N2614" s="26"/>
      <c r="P2614" s="214">
        <v>2310</v>
      </c>
      <c r="Q2614" s="215">
        <v>40</v>
      </c>
      <c r="R2614" s="216" t="s">
        <v>2623</v>
      </c>
      <c r="S2614" s="217"/>
      <c r="T2614" s="218"/>
      <c r="U2614" s="218"/>
      <c r="V2614" s="219"/>
      <c r="W2614" s="219"/>
    </row>
    <row r="2615" spans="1:23" s="66" customFormat="1" ht="15" customHeight="1">
      <c r="A2615" s="65" t="s">
        <v>2411</v>
      </c>
      <c r="B2615" s="66" t="s">
        <v>2317</v>
      </c>
      <c r="C2615" s="3">
        <v>40</v>
      </c>
      <c r="D2615" s="323" t="s">
        <v>2380</v>
      </c>
      <c r="E2615" s="337"/>
      <c r="F2615" s="338"/>
      <c r="G2615" s="322">
        <f>SUM(G2608:G2614)</f>
        <v>0</v>
      </c>
      <c r="H2615" s="322">
        <f t="shared" ref="H2615:N2615" si="233">SUM(H2608:H2614)</f>
        <v>0</v>
      </c>
      <c r="I2615" s="322">
        <f t="shared" si="233"/>
        <v>46380</v>
      </c>
      <c r="J2615" s="322">
        <f t="shared" si="233"/>
        <v>14076</v>
      </c>
      <c r="K2615" s="322">
        <f t="shared" si="233"/>
        <v>0</v>
      </c>
      <c r="L2615" s="322">
        <f t="shared" si="233"/>
        <v>8989</v>
      </c>
      <c r="M2615" s="322">
        <f t="shared" si="233"/>
        <v>0</v>
      </c>
      <c r="N2615" s="322">
        <f t="shared" si="233"/>
        <v>0</v>
      </c>
      <c r="O2615" s="298"/>
      <c r="P2615" s="214">
        <v>2311</v>
      </c>
      <c r="Q2615" s="215">
        <v>40</v>
      </c>
      <c r="R2615" s="216" t="s">
        <v>2639</v>
      </c>
      <c r="S2615" s="217"/>
      <c r="T2615" s="218">
        <v>0</v>
      </c>
      <c r="U2615" s="218">
        <v>0</v>
      </c>
      <c r="V2615" s="219">
        <v>8989.2800000000007</v>
      </c>
      <c r="W2615" s="219">
        <v>0</v>
      </c>
    </row>
    <row r="2616" spans="1:23" ht="15" customHeight="1">
      <c r="C2616" s="3">
        <v>40</v>
      </c>
      <c r="G2616" s="26"/>
      <c r="H2616" s="26"/>
      <c r="I2616" s="26"/>
      <c r="J2616" s="26"/>
      <c r="K2616" s="26"/>
      <c r="L2616" s="26"/>
      <c r="M2616" s="26"/>
      <c r="N2616" s="26"/>
      <c r="P2616" s="214">
        <v>2312</v>
      </c>
      <c r="Q2616" s="215">
        <v>40</v>
      </c>
      <c r="R2616" s="216" t="s">
        <v>2623</v>
      </c>
      <c r="S2616" s="217"/>
      <c r="T2616" s="218"/>
      <c r="U2616" s="218"/>
      <c r="V2616" s="219"/>
      <c r="W2616" s="219"/>
    </row>
    <row r="2617" spans="1:23" s="43" customFormat="1" ht="15" customHeight="1" thickBot="1">
      <c r="A2617" s="2"/>
      <c r="B2617" s="2" t="s">
        <v>2317</v>
      </c>
      <c r="C2617" s="3">
        <v>40</v>
      </c>
      <c r="D2617" s="68" t="s">
        <v>2381</v>
      </c>
      <c r="E2617" s="326"/>
      <c r="F2617" s="327"/>
      <c r="G2617" s="328">
        <f>+G2615</f>
        <v>0</v>
      </c>
      <c r="H2617" s="328">
        <f t="shared" ref="H2617:N2617" si="234">+H2615</f>
        <v>0</v>
      </c>
      <c r="I2617" s="328">
        <f t="shared" si="234"/>
        <v>46380</v>
      </c>
      <c r="J2617" s="328">
        <f t="shared" si="234"/>
        <v>14076</v>
      </c>
      <c r="K2617" s="328">
        <f t="shared" si="234"/>
        <v>0</v>
      </c>
      <c r="L2617" s="328">
        <f t="shared" si="234"/>
        <v>8989</v>
      </c>
      <c r="M2617" s="328">
        <f t="shared" si="234"/>
        <v>0</v>
      </c>
      <c r="N2617" s="328">
        <f t="shared" si="234"/>
        <v>0</v>
      </c>
      <c r="O2617" s="288"/>
      <c r="P2617" s="214">
        <v>2313</v>
      </c>
      <c r="Q2617" s="215">
        <v>40</v>
      </c>
      <c r="R2617" s="216" t="s">
        <v>2617</v>
      </c>
      <c r="S2617" s="217"/>
      <c r="T2617" s="218">
        <v>0</v>
      </c>
      <c r="U2617" s="218">
        <v>0</v>
      </c>
      <c r="V2617" s="219">
        <v>8989.2800000000007</v>
      </c>
      <c r="W2617" s="219">
        <v>0</v>
      </c>
    </row>
    <row r="2618" spans="1:23" s="49" customFormat="1" ht="15" customHeight="1" thickTop="1">
      <c r="A2618" s="2"/>
      <c r="B2618" s="2"/>
      <c r="C2618" s="3">
        <v>40</v>
      </c>
      <c r="D2618" s="47"/>
      <c r="E2618" s="15"/>
      <c r="F2618" s="105"/>
      <c r="G2618" s="26"/>
      <c r="H2618" s="26"/>
      <c r="I2618" s="26"/>
      <c r="J2618" s="26"/>
      <c r="K2618" s="26"/>
      <c r="L2618" s="26"/>
      <c r="M2618" s="25"/>
      <c r="N2618" s="25"/>
      <c r="O2618" s="299"/>
      <c r="P2618" s="225"/>
      <c r="Q2618" s="225"/>
      <c r="R2618" s="225"/>
      <c r="S2618" s="225"/>
      <c r="T2618" s="225"/>
      <c r="U2618" s="225"/>
      <c r="V2618" s="225"/>
      <c r="W2618" s="225"/>
    </row>
    <row r="2619" spans="1:23" s="31" customFormat="1" ht="15" customHeight="1">
      <c r="A2619" s="2"/>
      <c r="B2619" s="2" t="s">
        <v>2317</v>
      </c>
      <c r="C2619" s="3">
        <v>40</v>
      </c>
      <c r="D2619" s="47" t="s">
        <v>2382</v>
      </c>
      <c r="E2619" s="47"/>
      <c r="F2619" s="191"/>
      <c r="G2619" s="56">
        <f>+G2617+G2606+G2595+G2577</f>
        <v>0</v>
      </c>
      <c r="H2619" s="56">
        <f t="shared" ref="H2619:N2619" si="235">+H2617+H2606+H2595+H2577</f>
        <v>0</v>
      </c>
      <c r="I2619" s="56">
        <f t="shared" si="235"/>
        <v>124609</v>
      </c>
      <c r="J2619" s="56">
        <f t="shared" si="235"/>
        <v>160125</v>
      </c>
      <c r="K2619" s="56">
        <f t="shared" si="235"/>
        <v>0</v>
      </c>
      <c r="L2619" s="56">
        <f t="shared" si="235"/>
        <v>6281</v>
      </c>
      <c r="M2619" s="56">
        <f t="shared" si="235"/>
        <v>0</v>
      </c>
      <c r="N2619" s="56">
        <f t="shared" si="235"/>
        <v>0</v>
      </c>
      <c r="O2619" s="300"/>
      <c r="P2619" s="214">
        <v>2314</v>
      </c>
      <c r="Q2619" s="215">
        <v>40</v>
      </c>
      <c r="R2619" s="216" t="s">
        <v>2618</v>
      </c>
      <c r="S2619" s="217"/>
      <c r="T2619" s="218">
        <v>0</v>
      </c>
      <c r="U2619" s="218">
        <v>-380</v>
      </c>
      <c r="V2619" s="219">
        <v>5901.19</v>
      </c>
      <c r="W2619" s="219">
        <v>0</v>
      </c>
    </row>
    <row r="2620" spans="1:23" s="46" customFormat="1" ht="15" customHeight="1">
      <c r="A2620" s="5"/>
      <c r="B2620" s="5"/>
      <c r="C2620" s="3">
        <v>40</v>
      </c>
      <c r="D2620" s="47"/>
      <c r="E2620" s="47"/>
      <c r="F2620" s="191"/>
      <c r="G2620" s="56"/>
      <c r="H2620" s="56"/>
      <c r="I2620" s="56"/>
      <c r="J2620" s="56"/>
      <c r="K2620" s="56"/>
      <c r="L2620" s="56"/>
      <c r="M2620" s="56"/>
      <c r="N2620" s="56"/>
      <c r="O2620" s="289"/>
      <c r="P2620" s="221"/>
      <c r="Q2620" s="221"/>
      <c r="R2620" s="221"/>
      <c r="S2620" s="221"/>
      <c r="T2620" s="221"/>
      <c r="U2620" s="221"/>
      <c r="V2620" s="221"/>
      <c r="W2620" s="221"/>
    </row>
    <row r="2621" spans="1:23" s="33" customFormat="1" ht="15" customHeight="1" thickBot="1">
      <c r="A2621" s="2"/>
      <c r="B2621" s="2" t="s">
        <v>2317</v>
      </c>
      <c r="C2621" s="3">
        <v>40</v>
      </c>
      <c r="D2621" s="329" t="s">
        <v>2246</v>
      </c>
      <c r="E2621" s="329"/>
      <c r="F2621" s="330"/>
      <c r="G2621" s="336">
        <f t="shared" ref="G2621:N2621" si="236">+G2558-G2619</f>
        <v>0</v>
      </c>
      <c r="H2621" s="336">
        <f t="shared" si="236"/>
        <v>0</v>
      </c>
      <c r="I2621" s="336">
        <f t="shared" si="236"/>
        <v>-44479</v>
      </c>
      <c r="J2621" s="336">
        <f t="shared" si="236"/>
        <v>32304</v>
      </c>
      <c r="K2621" s="336">
        <f t="shared" si="236"/>
        <v>0</v>
      </c>
      <c r="L2621" s="336">
        <f t="shared" si="236"/>
        <v>9153</v>
      </c>
      <c r="M2621" s="336">
        <f t="shared" si="236"/>
        <v>0</v>
      </c>
      <c r="N2621" s="336">
        <f t="shared" si="236"/>
        <v>0</v>
      </c>
      <c r="O2621" s="301"/>
      <c r="P2621" s="214">
        <v>2315</v>
      </c>
      <c r="Q2621" s="215">
        <v>40</v>
      </c>
      <c r="R2621" s="216" t="s">
        <v>2619</v>
      </c>
      <c r="S2621" s="217"/>
      <c r="T2621" s="218">
        <v>0</v>
      </c>
      <c r="U2621" s="218">
        <v>380</v>
      </c>
      <c r="V2621" s="218">
        <v>9532.25</v>
      </c>
      <c r="W2621" s="219">
        <v>0</v>
      </c>
    </row>
    <row r="2622" spans="1:23" s="46" customFormat="1" ht="15" customHeight="1" thickTop="1">
      <c r="A2622" s="5"/>
      <c r="B2622" s="5"/>
      <c r="C2622" s="3">
        <v>40</v>
      </c>
      <c r="D2622" s="47"/>
      <c r="E2622" s="47"/>
      <c r="F2622" s="191"/>
      <c r="G2622" s="56"/>
      <c r="H2622" s="56"/>
      <c r="I2622" s="56"/>
      <c r="J2622" s="56"/>
      <c r="K2622" s="56"/>
      <c r="L2622" s="56"/>
      <c r="M2622" s="56"/>
      <c r="N2622" s="56"/>
      <c r="O2622" s="289"/>
      <c r="P2622" s="221"/>
      <c r="Q2622" s="221"/>
      <c r="R2622" s="221"/>
      <c r="S2622" s="221"/>
      <c r="T2622" s="221"/>
      <c r="U2622" s="221"/>
      <c r="V2622" s="221"/>
      <c r="W2622" s="221"/>
    </row>
    <row r="2623" spans="1:23" ht="15" customHeight="1">
      <c r="C2623" s="3">
        <v>40</v>
      </c>
      <c r="D2623" s="54" t="s">
        <v>2875</v>
      </c>
      <c r="E2623" s="54"/>
      <c r="F2623" s="192"/>
      <c r="G2623" s="55"/>
      <c r="H2623" s="55"/>
      <c r="I2623" s="55"/>
      <c r="J2623" s="55"/>
      <c r="K2623" s="55">
        <f>+K2536</f>
        <v>0</v>
      </c>
      <c r="L2623" s="55"/>
      <c r="M2623" s="55">
        <f>+M2536</f>
        <v>0</v>
      </c>
      <c r="N2623" s="55">
        <f>+N2536</f>
        <v>0</v>
      </c>
      <c r="O2623" s="253">
        <f>+O2600</f>
        <v>0</v>
      </c>
      <c r="P2623" s="203"/>
      <c r="Q2623" s="204"/>
      <c r="R2623" s="205"/>
      <c r="S2623" s="206"/>
      <c r="T2623" s="207"/>
      <c r="U2623" s="207"/>
      <c r="V2623" s="208"/>
      <c r="W2623" s="212"/>
    </row>
    <row r="2624" spans="1:23" s="46" customFormat="1" ht="15" customHeight="1">
      <c r="A2624" s="195"/>
      <c r="B2624" s="195"/>
      <c r="C2624" s="3">
        <v>40</v>
      </c>
      <c r="D2624" s="47"/>
      <c r="E2624" s="47"/>
      <c r="F2624" s="191"/>
      <c r="G2624" s="56"/>
      <c r="H2624" s="56"/>
      <c r="I2624" s="56"/>
      <c r="J2624" s="56"/>
      <c r="K2624" s="56"/>
      <c r="L2624" s="56"/>
      <c r="M2624" s="56"/>
      <c r="N2624" s="56"/>
      <c r="O2624" s="289"/>
      <c r="P2624" s="221"/>
      <c r="Q2624" s="221"/>
      <c r="R2624" s="221"/>
      <c r="S2624" s="221"/>
      <c r="T2624" s="221"/>
      <c r="U2624" s="221"/>
      <c r="V2624" s="221"/>
      <c r="W2624" s="221"/>
    </row>
    <row r="2625" spans="1:23" s="35" customFormat="1" ht="15" customHeight="1">
      <c r="A2625" s="2"/>
      <c r="B2625" s="2"/>
      <c r="C2625" s="3">
        <v>40</v>
      </c>
      <c r="D2625" s="47" t="s">
        <v>1976</v>
      </c>
      <c r="E2625" s="47"/>
      <c r="F2625" s="191"/>
      <c r="G2625" s="48"/>
      <c r="H2625" s="48"/>
      <c r="I2625" s="48"/>
      <c r="J2625" s="48"/>
      <c r="K2625" s="48"/>
      <c r="L2625" s="48"/>
      <c r="M2625" s="48"/>
      <c r="N2625" s="48"/>
      <c r="O2625" s="276"/>
      <c r="P2625" s="214">
        <v>2316</v>
      </c>
      <c r="Q2625" s="215">
        <v>40</v>
      </c>
      <c r="R2625" s="216" t="s">
        <v>2630</v>
      </c>
      <c r="S2625" s="217"/>
      <c r="T2625" s="218"/>
      <c r="U2625" s="218"/>
      <c r="V2625" s="218"/>
      <c r="W2625" s="219"/>
    </row>
    <row r="2626" spans="1:23" s="35" customFormat="1" ht="15" customHeight="1">
      <c r="A2626" s="2"/>
      <c r="B2626" s="2"/>
      <c r="C2626" s="3"/>
      <c r="D2626" s="47"/>
      <c r="E2626" s="47"/>
      <c r="F2626" s="191"/>
      <c r="G2626" s="48"/>
      <c r="H2626" s="48"/>
      <c r="I2626" s="48"/>
      <c r="J2626" s="48"/>
      <c r="K2626" s="48"/>
      <c r="L2626" s="48"/>
      <c r="M2626" s="48"/>
      <c r="N2626" s="48"/>
      <c r="O2626" s="276"/>
    </row>
    <row r="2627" spans="1:23" s="35" customFormat="1" ht="15" customHeight="1">
      <c r="A2627" s="2"/>
      <c r="B2627" s="2"/>
      <c r="C2627" s="3"/>
      <c r="D2627" s="47"/>
      <c r="E2627" s="47"/>
      <c r="F2627" s="191"/>
      <c r="G2627" s="48"/>
      <c r="H2627" s="48"/>
      <c r="I2627" s="48"/>
      <c r="J2627" s="48"/>
      <c r="K2627" s="48"/>
      <c r="L2627" s="48"/>
      <c r="M2627" s="48"/>
      <c r="N2627" s="48"/>
      <c r="O2627" s="276"/>
    </row>
    <row r="2628" spans="1:23" s="35" customFormat="1" ht="15" customHeight="1">
      <c r="A2628" s="2"/>
      <c r="B2628" s="2"/>
      <c r="C2628" s="3"/>
      <c r="D2628" s="47"/>
      <c r="E2628" s="47"/>
      <c r="F2628" s="191"/>
      <c r="G2628" s="48"/>
      <c r="H2628" s="48"/>
      <c r="I2628" s="48"/>
      <c r="J2628" s="48"/>
      <c r="K2628" s="48"/>
      <c r="L2628" s="48"/>
      <c r="M2628" s="48"/>
      <c r="N2628" s="48"/>
      <c r="O2628" s="276"/>
    </row>
    <row r="2629" spans="1:23" s="35" customFormat="1" ht="15" customHeight="1">
      <c r="A2629" s="2"/>
      <c r="B2629" s="2"/>
      <c r="C2629" s="3">
        <v>41</v>
      </c>
      <c r="D2629" s="47" t="s">
        <v>2384</v>
      </c>
      <c r="E2629" s="47"/>
      <c r="F2629" s="191"/>
      <c r="G2629" s="48"/>
      <c r="H2629" s="48"/>
      <c r="I2629" s="48"/>
      <c r="J2629" s="48"/>
      <c r="K2629" s="48"/>
      <c r="L2629" s="48"/>
      <c r="M2629" s="48"/>
      <c r="N2629" s="48"/>
      <c r="O2629" s="276"/>
    </row>
    <row r="2630" spans="1:23" s="35" customFormat="1" ht="15" customHeight="1">
      <c r="A2630" s="2"/>
      <c r="B2630" s="2"/>
      <c r="C2630" s="3">
        <v>41</v>
      </c>
      <c r="D2630" s="47"/>
      <c r="E2630" s="47"/>
      <c r="F2630" s="191"/>
      <c r="G2630" s="48"/>
      <c r="H2630" s="48"/>
      <c r="I2630" s="48"/>
      <c r="J2630" s="48"/>
      <c r="K2630" s="48"/>
      <c r="L2630" s="48"/>
      <c r="M2630" s="48"/>
      <c r="N2630" s="48"/>
      <c r="O2630" s="276"/>
    </row>
    <row r="2631" spans="1:23" ht="15" customHeight="1">
      <c r="C2631" s="3">
        <v>41</v>
      </c>
      <c r="D2631" s="54" t="s">
        <v>2874</v>
      </c>
      <c r="E2631" s="54"/>
      <c r="F2631" s="192"/>
      <c r="G2631" s="55"/>
      <c r="H2631" s="55"/>
      <c r="I2631" s="55"/>
      <c r="J2631" s="55"/>
      <c r="K2631" s="55">
        <v>37586.449999999997</v>
      </c>
      <c r="L2631" s="55"/>
      <c r="M2631" s="55"/>
      <c r="N2631" s="55">
        <f>+M2647</f>
        <v>0</v>
      </c>
      <c r="O2631" s="278"/>
      <c r="P2631" s="203"/>
      <c r="Q2631" s="204"/>
      <c r="R2631" s="205"/>
      <c r="S2631" s="206"/>
      <c r="T2631" s="207"/>
      <c r="U2631" s="207"/>
      <c r="V2631" s="208"/>
      <c r="W2631" s="212"/>
    </row>
    <row r="2632" spans="1:23" s="35" customFormat="1" ht="15" customHeight="1">
      <c r="A2632" s="2"/>
      <c r="B2632" s="2"/>
      <c r="C2632" s="3">
        <v>41</v>
      </c>
      <c r="D2632" s="47"/>
      <c r="E2632" s="47"/>
      <c r="F2632" s="191"/>
      <c r="G2632" s="48"/>
      <c r="H2632" s="48"/>
      <c r="I2632" s="48"/>
      <c r="J2632" s="48"/>
      <c r="K2632" s="48"/>
      <c r="L2632" s="48"/>
      <c r="M2632" s="48"/>
      <c r="N2632" s="48"/>
      <c r="O2632" s="276"/>
    </row>
    <row r="2633" spans="1:23" ht="15" customHeight="1">
      <c r="C2633" s="3">
        <v>41</v>
      </c>
      <c r="D2633" s="47" t="s">
        <v>2222</v>
      </c>
      <c r="G2633" s="26"/>
      <c r="H2633" s="26"/>
      <c r="I2633" s="26"/>
      <c r="J2633" s="26"/>
      <c r="K2633" s="26"/>
      <c r="L2633" s="26"/>
      <c r="M2633" s="26"/>
      <c r="N2633" s="26"/>
      <c r="P2633" s="214">
        <v>2317</v>
      </c>
      <c r="Q2633" s="215">
        <v>41</v>
      </c>
      <c r="R2633" s="216" t="s">
        <v>2610</v>
      </c>
      <c r="S2633" s="217"/>
      <c r="T2633" s="218"/>
      <c r="U2633" s="218"/>
      <c r="V2633" s="218"/>
      <c r="W2633" s="219"/>
    </row>
    <row r="2634" spans="1:23" ht="15" customHeight="1">
      <c r="C2634" s="3">
        <v>41</v>
      </c>
      <c r="G2634" s="26"/>
      <c r="H2634" s="26"/>
      <c r="I2634" s="26"/>
      <c r="J2634" s="26"/>
      <c r="K2634" s="26"/>
      <c r="L2634" s="26"/>
      <c r="M2634" s="26"/>
      <c r="N2634" s="26"/>
      <c r="P2634" s="214">
        <v>2318</v>
      </c>
      <c r="Q2634" s="215">
        <v>41</v>
      </c>
      <c r="R2634" s="216" t="s">
        <v>2611</v>
      </c>
      <c r="S2634" s="217"/>
      <c r="T2634" s="218"/>
      <c r="U2634" s="218"/>
      <c r="V2634" s="218"/>
      <c r="W2634" s="219"/>
    </row>
    <row r="2635" spans="1:23" s="21" customFormat="1" ht="15" customHeight="1">
      <c r="A2635" s="2"/>
      <c r="B2635" s="2" t="s">
        <v>2318</v>
      </c>
      <c r="C2635" s="3">
        <v>41</v>
      </c>
      <c r="D2635" s="54" t="s">
        <v>2198</v>
      </c>
      <c r="E2635" s="54"/>
      <c r="F2635" s="192"/>
      <c r="G2635" s="55">
        <f>+G2637</f>
        <v>0</v>
      </c>
      <c r="H2635" s="55">
        <f t="shared" ref="H2635:N2635" si="237">+H2637</f>
        <v>0</v>
      </c>
      <c r="I2635" s="55">
        <f t="shared" si="237"/>
        <v>9245</v>
      </c>
      <c r="J2635" s="55">
        <f t="shared" si="237"/>
        <v>49806</v>
      </c>
      <c r="K2635" s="55">
        <f t="shared" si="237"/>
        <v>0</v>
      </c>
      <c r="L2635" s="55">
        <f t="shared" si="237"/>
        <v>0</v>
      </c>
      <c r="M2635" s="55">
        <f t="shared" si="237"/>
        <v>0</v>
      </c>
      <c r="N2635" s="55">
        <f t="shared" si="237"/>
        <v>0</v>
      </c>
      <c r="O2635" s="279"/>
      <c r="P2635" s="214">
        <v>2319</v>
      </c>
      <c r="Q2635" s="215">
        <v>41</v>
      </c>
      <c r="R2635" s="216" t="s">
        <v>2612</v>
      </c>
      <c r="S2635" s="217"/>
      <c r="T2635" s="218">
        <v>0</v>
      </c>
      <c r="U2635" s="218">
        <v>0</v>
      </c>
      <c r="V2635" s="218">
        <v>0</v>
      </c>
      <c r="W2635" s="219">
        <v>0</v>
      </c>
    </row>
    <row r="2636" spans="1:23" s="57" customFormat="1" ht="15" customHeight="1">
      <c r="A2636" s="5"/>
      <c r="B2636" s="5"/>
      <c r="C2636" s="3">
        <v>41</v>
      </c>
      <c r="D2636" s="54"/>
      <c r="E2636" s="54"/>
      <c r="F2636" s="192"/>
      <c r="G2636" s="55"/>
      <c r="H2636" s="55"/>
      <c r="I2636" s="55"/>
      <c r="J2636" s="55"/>
      <c r="K2636" s="55"/>
      <c r="L2636" s="55"/>
      <c r="M2636" s="55"/>
      <c r="N2636" s="55"/>
      <c r="O2636" s="302"/>
      <c r="P2636" s="220"/>
      <c r="Q2636" s="220"/>
      <c r="R2636" s="220"/>
      <c r="S2636" s="220"/>
      <c r="T2636" s="220"/>
      <c r="U2636" s="220"/>
      <c r="V2636" s="220"/>
      <c r="W2636" s="220"/>
    </row>
    <row r="2637" spans="1:23" s="27" customFormat="1" ht="15" customHeight="1" thickBot="1">
      <c r="A2637" s="2"/>
      <c r="B2637" s="2" t="s">
        <v>2318</v>
      </c>
      <c r="C2637" s="3">
        <v>41</v>
      </c>
      <c r="D2637" s="68" t="str">
        <f>+D2653</f>
        <v>*** TOTAL FUND 41 REVENUES ***</v>
      </c>
      <c r="E2637" s="68"/>
      <c r="F2637" s="68">
        <f>+F2653</f>
        <v>0</v>
      </c>
      <c r="G2637" s="69">
        <f>+G2653</f>
        <v>0</v>
      </c>
      <c r="H2637" s="69">
        <f t="shared" ref="H2637:N2637" si="238">+H2653</f>
        <v>0</v>
      </c>
      <c r="I2637" s="69">
        <f t="shared" si="238"/>
        <v>9245</v>
      </c>
      <c r="J2637" s="69">
        <f t="shared" si="238"/>
        <v>49806</v>
      </c>
      <c r="K2637" s="69">
        <f t="shared" si="238"/>
        <v>0</v>
      </c>
      <c r="L2637" s="69">
        <f t="shared" si="238"/>
        <v>0</v>
      </c>
      <c r="M2637" s="69">
        <f t="shared" si="238"/>
        <v>0</v>
      </c>
      <c r="N2637" s="69">
        <f t="shared" si="238"/>
        <v>0</v>
      </c>
      <c r="O2637" s="281"/>
      <c r="P2637" s="214">
        <v>2320</v>
      </c>
      <c r="Q2637" s="215">
        <v>41</v>
      </c>
      <c r="R2637" s="216" t="s">
        <v>2613</v>
      </c>
      <c r="S2637" s="217"/>
      <c r="T2637" s="218">
        <v>0</v>
      </c>
      <c r="U2637" s="218">
        <v>0</v>
      </c>
      <c r="V2637" s="218">
        <v>0</v>
      </c>
      <c r="W2637" s="219">
        <v>0</v>
      </c>
    </row>
    <row r="2638" spans="1:23" s="46" customFormat="1" ht="15" customHeight="1" thickTop="1">
      <c r="A2638" s="5"/>
      <c r="B2638" s="5"/>
      <c r="C2638" s="3">
        <v>41</v>
      </c>
      <c r="D2638" s="47"/>
      <c r="E2638" s="47"/>
      <c r="F2638" s="47"/>
      <c r="G2638" s="56"/>
      <c r="H2638" s="56"/>
      <c r="I2638" s="56"/>
      <c r="J2638" s="56"/>
      <c r="K2638" s="56"/>
      <c r="L2638" s="56"/>
      <c r="M2638" s="56"/>
      <c r="N2638" s="56"/>
      <c r="O2638" s="289"/>
      <c r="P2638" s="221"/>
      <c r="Q2638" s="221"/>
      <c r="R2638" s="221"/>
      <c r="S2638" s="221"/>
      <c r="T2638" s="221"/>
      <c r="U2638" s="221"/>
      <c r="V2638" s="221"/>
      <c r="W2638" s="221"/>
    </row>
    <row r="2639" spans="1:23" ht="15" customHeight="1">
      <c r="C2639" s="3">
        <v>41</v>
      </c>
      <c r="D2639" s="47" t="s">
        <v>1977</v>
      </c>
      <c r="G2639" s="26"/>
      <c r="H2639" s="26"/>
      <c r="I2639" s="26"/>
      <c r="J2639" s="26"/>
      <c r="K2639" s="26"/>
      <c r="L2639" s="26"/>
      <c r="M2639" s="26"/>
      <c r="N2639" s="26"/>
      <c r="P2639" s="214">
        <v>2321</v>
      </c>
      <c r="Q2639" s="215">
        <v>41</v>
      </c>
      <c r="R2639" s="216" t="s">
        <v>2614</v>
      </c>
      <c r="S2639" s="217"/>
      <c r="T2639" s="218"/>
      <c r="U2639" s="218"/>
      <c r="V2639" s="218"/>
      <c r="W2639" s="219"/>
    </row>
    <row r="2640" spans="1:23" ht="15" customHeight="1">
      <c r="C2640" s="3">
        <v>41</v>
      </c>
      <c r="G2640" s="26"/>
      <c r="H2640" s="26"/>
      <c r="I2640" s="26"/>
      <c r="J2640" s="26"/>
      <c r="K2640" s="26"/>
      <c r="L2640" s="26"/>
      <c r="M2640" s="26"/>
      <c r="N2640" s="26"/>
      <c r="P2640" s="214">
        <v>2322</v>
      </c>
      <c r="Q2640" s="215">
        <v>41</v>
      </c>
      <c r="R2640" s="216" t="s">
        <v>2615</v>
      </c>
      <c r="S2640" s="217"/>
      <c r="T2640" s="218"/>
      <c r="U2640" s="218"/>
      <c r="V2640" s="218"/>
      <c r="W2640" s="219"/>
    </row>
    <row r="2641" spans="1:23" s="43" customFormat="1" ht="15" customHeight="1" thickBot="1">
      <c r="A2641" s="2"/>
      <c r="B2641" s="2" t="s">
        <v>2318</v>
      </c>
      <c r="C2641" s="3">
        <v>41</v>
      </c>
      <c r="D2641" s="68" t="s">
        <v>1994</v>
      </c>
      <c r="E2641" s="326"/>
      <c r="F2641" s="327"/>
      <c r="G2641" s="328">
        <f>+G2661</f>
        <v>0</v>
      </c>
      <c r="H2641" s="328">
        <f t="shared" ref="H2641:N2641" si="239">+H2661</f>
        <v>0</v>
      </c>
      <c r="I2641" s="328">
        <f t="shared" si="239"/>
        <v>4623</v>
      </c>
      <c r="J2641" s="328">
        <f t="shared" si="239"/>
        <v>49806</v>
      </c>
      <c r="K2641" s="328">
        <f t="shared" si="239"/>
        <v>0</v>
      </c>
      <c r="L2641" s="328">
        <f t="shared" si="239"/>
        <v>0</v>
      </c>
      <c r="M2641" s="328">
        <f t="shared" si="239"/>
        <v>0</v>
      </c>
      <c r="N2641" s="328">
        <f t="shared" si="239"/>
        <v>0</v>
      </c>
      <c r="O2641" s="288"/>
      <c r="P2641" s="214">
        <v>2323</v>
      </c>
      <c r="Q2641" s="215">
        <v>41</v>
      </c>
      <c r="R2641" s="216" t="s">
        <v>2617</v>
      </c>
      <c r="S2641" s="217"/>
      <c r="T2641" s="218">
        <v>0</v>
      </c>
      <c r="U2641" s="218">
        <v>0</v>
      </c>
      <c r="V2641" s="218">
        <v>0</v>
      </c>
      <c r="W2641" s="219">
        <v>0</v>
      </c>
    </row>
    <row r="2642" spans="1:23" s="49" customFormat="1" ht="15" customHeight="1" thickTop="1">
      <c r="A2642" s="2"/>
      <c r="B2642" s="2"/>
      <c r="C2642" s="3">
        <v>41</v>
      </c>
      <c r="D2642" s="47"/>
      <c r="E2642" s="15"/>
      <c r="F2642" s="105"/>
      <c r="G2642" s="26"/>
      <c r="H2642" s="26"/>
      <c r="I2642" s="26"/>
      <c r="J2642" s="26"/>
      <c r="K2642" s="26"/>
      <c r="L2642" s="26"/>
      <c r="M2642" s="26"/>
      <c r="N2642" s="26"/>
      <c r="O2642" s="275"/>
      <c r="P2642" s="225"/>
      <c r="Q2642" s="225"/>
      <c r="R2642" s="225"/>
      <c r="S2642" s="225"/>
      <c r="T2642" s="225"/>
      <c r="U2642" s="225"/>
      <c r="V2642" s="225"/>
      <c r="W2642" s="225"/>
    </row>
    <row r="2643" spans="1:23" s="37" customFormat="1" ht="15" customHeight="1">
      <c r="A2643" s="2"/>
      <c r="B2643" s="2" t="s">
        <v>2318</v>
      </c>
      <c r="C2643" s="3">
        <v>41</v>
      </c>
      <c r="D2643" s="47" t="str">
        <f>+D2663</f>
        <v>*** TOTAL FUND 41 EXPENSES ***</v>
      </c>
      <c r="E2643" s="47"/>
      <c r="F2643" s="47">
        <f>+F2663</f>
        <v>0</v>
      </c>
      <c r="G2643" s="56">
        <f>+G2663</f>
        <v>0</v>
      </c>
      <c r="H2643" s="56">
        <f t="shared" ref="H2643:N2643" si="240">+H2663</f>
        <v>0</v>
      </c>
      <c r="I2643" s="56">
        <f t="shared" si="240"/>
        <v>4623</v>
      </c>
      <c r="J2643" s="56">
        <f t="shared" si="240"/>
        <v>49806</v>
      </c>
      <c r="K2643" s="56">
        <f t="shared" si="240"/>
        <v>0</v>
      </c>
      <c r="L2643" s="56">
        <f t="shared" si="240"/>
        <v>0</v>
      </c>
      <c r="M2643" s="56">
        <f t="shared" si="240"/>
        <v>0</v>
      </c>
      <c r="N2643" s="56">
        <f t="shared" si="240"/>
        <v>0</v>
      </c>
      <c r="O2643" s="307"/>
      <c r="P2643" s="214">
        <v>2324</v>
      </c>
      <c r="Q2643" s="215">
        <v>41</v>
      </c>
      <c r="R2643" s="216" t="s">
        <v>2618</v>
      </c>
      <c r="S2643" s="217"/>
      <c r="T2643" s="218">
        <v>0</v>
      </c>
      <c r="U2643" s="218">
        <v>0</v>
      </c>
      <c r="V2643" s="218">
        <v>0</v>
      </c>
      <c r="W2643" s="219">
        <v>0</v>
      </c>
    </row>
    <row r="2644" spans="1:23" s="46" customFormat="1" ht="15" customHeight="1">
      <c r="A2644" s="5"/>
      <c r="B2644" s="5"/>
      <c r="C2644" s="3">
        <v>41</v>
      </c>
      <c r="D2644" s="47"/>
      <c r="E2644" s="47"/>
      <c r="F2644" s="47"/>
      <c r="G2644" s="56"/>
      <c r="H2644" s="56"/>
      <c r="I2644" s="56"/>
      <c r="J2644" s="56"/>
      <c r="K2644" s="56"/>
      <c r="L2644" s="56"/>
      <c r="M2644" s="56"/>
      <c r="N2644" s="56"/>
      <c r="O2644" s="289"/>
      <c r="P2644" s="221"/>
      <c r="Q2644" s="221"/>
      <c r="R2644" s="221"/>
      <c r="S2644" s="221"/>
      <c r="T2644" s="221"/>
      <c r="U2644" s="221"/>
      <c r="V2644" s="221"/>
      <c r="W2644" s="221"/>
    </row>
    <row r="2645" spans="1:23" s="33" customFormat="1" ht="15" customHeight="1" thickBot="1">
      <c r="A2645" s="2"/>
      <c r="B2645" s="2" t="s">
        <v>2318</v>
      </c>
      <c r="C2645" s="3">
        <v>41</v>
      </c>
      <c r="D2645" s="335" t="str">
        <f>+D2665</f>
        <v>*** FUND 41 REVENUES OVER(UNDER) EXPENSES ***</v>
      </c>
      <c r="E2645" s="336"/>
      <c r="F2645" s="336">
        <f>+F2665</f>
        <v>0</v>
      </c>
      <c r="G2645" s="336">
        <f>+G2665</f>
        <v>0</v>
      </c>
      <c r="H2645" s="336">
        <f t="shared" ref="H2645:N2645" si="241">+H2665</f>
        <v>0</v>
      </c>
      <c r="I2645" s="336">
        <f t="shared" si="241"/>
        <v>4622</v>
      </c>
      <c r="J2645" s="336">
        <f t="shared" si="241"/>
        <v>0</v>
      </c>
      <c r="K2645" s="336">
        <f t="shared" si="241"/>
        <v>0</v>
      </c>
      <c r="L2645" s="336">
        <f t="shared" si="241"/>
        <v>0</v>
      </c>
      <c r="M2645" s="336">
        <f t="shared" si="241"/>
        <v>0</v>
      </c>
      <c r="N2645" s="336">
        <f t="shared" si="241"/>
        <v>0</v>
      </c>
      <c r="O2645" s="301"/>
      <c r="P2645" s="214">
        <v>2325</v>
      </c>
      <c r="Q2645" s="215">
        <v>41</v>
      </c>
      <c r="R2645" s="216" t="s">
        <v>2619</v>
      </c>
      <c r="S2645" s="217"/>
      <c r="T2645" s="218">
        <v>0</v>
      </c>
      <c r="U2645" s="218">
        <v>0</v>
      </c>
      <c r="V2645" s="218">
        <v>0</v>
      </c>
      <c r="W2645" s="219">
        <v>0</v>
      </c>
    </row>
    <row r="2646" spans="1:23" s="46" customFormat="1" ht="15" customHeight="1" thickTop="1">
      <c r="A2646" s="5"/>
      <c r="B2646" s="5"/>
      <c r="C2646" s="3">
        <v>41</v>
      </c>
      <c r="D2646" s="58"/>
      <c r="E2646" s="56"/>
      <c r="F2646" s="56"/>
      <c r="G2646" s="56"/>
      <c r="H2646" s="56"/>
      <c r="I2646" s="56"/>
      <c r="J2646" s="56"/>
      <c r="K2646" s="56"/>
      <c r="L2646" s="56"/>
      <c r="M2646" s="56"/>
      <c r="N2646" s="56"/>
      <c r="O2646" s="289"/>
      <c r="P2646" s="221"/>
      <c r="Q2646" s="221"/>
      <c r="R2646" s="221"/>
      <c r="S2646" s="221"/>
      <c r="T2646" s="221"/>
      <c r="U2646" s="221"/>
      <c r="V2646" s="221"/>
      <c r="W2646" s="221"/>
    </row>
    <row r="2647" spans="1:23" ht="15" customHeight="1">
      <c r="C2647" s="3">
        <v>41</v>
      </c>
      <c r="D2647" s="54" t="s">
        <v>2875</v>
      </c>
      <c r="E2647" s="54"/>
      <c r="F2647" s="192"/>
      <c r="G2647" s="55"/>
      <c r="H2647" s="55"/>
      <c r="I2647" s="55"/>
      <c r="J2647" s="55">
        <v>37586.449999999997</v>
      </c>
      <c r="K2647" s="55">
        <f>+K2631+K2637-K2643</f>
        <v>37586.449999999997</v>
      </c>
      <c r="L2647" s="55"/>
      <c r="M2647" s="55">
        <f>+M2631+M2637-M2643</f>
        <v>0</v>
      </c>
      <c r="N2647" s="55">
        <f>+N2631+N2637-N2643</f>
        <v>0</v>
      </c>
      <c r="O2647" s="253">
        <f>+O2624</f>
        <v>0</v>
      </c>
      <c r="P2647" s="203"/>
      <c r="Q2647" s="204"/>
      <c r="R2647" s="205"/>
      <c r="S2647" s="206"/>
      <c r="T2647" s="207"/>
      <c r="U2647" s="207"/>
      <c r="V2647" s="208"/>
      <c r="W2647" s="212"/>
    </row>
    <row r="2648" spans="1:23" s="46" customFormat="1" ht="15" customHeight="1">
      <c r="A2648" s="195"/>
      <c r="B2648" s="195"/>
      <c r="C2648" s="3">
        <v>41</v>
      </c>
      <c r="D2648" s="58"/>
      <c r="E2648" s="56"/>
      <c r="F2648" s="56"/>
      <c r="G2648" s="56"/>
      <c r="H2648" s="56"/>
      <c r="I2648" s="56"/>
      <c r="J2648" s="56"/>
      <c r="K2648" s="56"/>
      <c r="L2648" s="56"/>
      <c r="M2648" s="26"/>
      <c r="N2648" s="26"/>
      <c r="O2648" s="289"/>
      <c r="P2648" s="221"/>
      <c r="Q2648" s="221"/>
      <c r="R2648" s="221"/>
      <c r="S2648" s="221"/>
      <c r="T2648" s="221"/>
      <c r="U2648" s="221"/>
      <c r="V2648" s="221"/>
      <c r="W2648" s="221"/>
    </row>
    <row r="2649" spans="1:23" ht="15" customHeight="1">
      <c r="C2649" s="3">
        <v>41</v>
      </c>
      <c r="D2649" s="15">
        <v>4990</v>
      </c>
      <c r="E2649" s="312" t="s">
        <v>70</v>
      </c>
      <c r="G2649" s="26">
        <v>0</v>
      </c>
      <c r="H2649" s="26">
        <v>0</v>
      </c>
      <c r="I2649" s="26">
        <v>0</v>
      </c>
      <c r="J2649" s="26">
        <v>0</v>
      </c>
      <c r="K2649" s="26">
        <v>0</v>
      </c>
      <c r="L2649" s="26">
        <v>0</v>
      </c>
      <c r="M2649" s="26">
        <v>0</v>
      </c>
      <c r="N2649" s="26">
        <v>0</v>
      </c>
      <c r="O2649" s="285"/>
      <c r="P2649" s="214">
        <v>2326</v>
      </c>
      <c r="Q2649" s="215">
        <v>41</v>
      </c>
      <c r="R2649" s="216">
        <v>4990</v>
      </c>
      <c r="S2649" s="217" t="s">
        <v>70</v>
      </c>
      <c r="T2649" s="218">
        <v>0</v>
      </c>
      <c r="U2649" s="218">
        <v>0</v>
      </c>
      <c r="V2649" s="218">
        <v>0</v>
      </c>
      <c r="W2649" s="219">
        <v>0</v>
      </c>
    </row>
    <row r="2650" spans="1:23" ht="15" customHeight="1">
      <c r="C2650" s="3">
        <v>41</v>
      </c>
      <c r="D2650" s="15" t="s">
        <v>1848</v>
      </c>
      <c r="E2650" s="312" t="s">
        <v>1849</v>
      </c>
      <c r="G2650" s="26">
        <v>0</v>
      </c>
      <c r="H2650" s="26">
        <v>0</v>
      </c>
      <c r="I2650" s="26">
        <v>9245</v>
      </c>
      <c r="J2650" s="26">
        <v>37306</v>
      </c>
      <c r="K2650" s="26">
        <v>0</v>
      </c>
      <c r="L2650" s="26">
        <v>0</v>
      </c>
      <c r="M2650" s="26">
        <v>0</v>
      </c>
      <c r="N2650" s="26">
        <v>0</v>
      </c>
      <c r="O2650" s="285"/>
      <c r="P2650" s="214">
        <v>2327</v>
      </c>
      <c r="Q2650" s="215">
        <v>41</v>
      </c>
      <c r="R2650" s="216" t="s">
        <v>1848</v>
      </c>
      <c r="S2650" s="217" t="s">
        <v>1849</v>
      </c>
      <c r="T2650" s="218">
        <v>0</v>
      </c>
      <c r="U2650" s="218">
        <v>0</v>
      </c>
      <c r="V2650" s="218">
        <v>0</v>
      </c>
      <c r="W2650" s="219">
        <v>0</v>
      </c>
    </row>
    <row r="2651" spans="1:23" ht="15" customHeight="1">
      <c r="C2651" s="3">
        <v>41</v>
      </c>
      <c r="D2651" s="15">
        <v>4991</v>
      </c>
      <c r="E2651" s="312" t="s">
        <v>2502</v>
      </c>
      <c r="G2651" s="26">
        <v>0</v>
      </c>
      <c r="H2651" s="26">
        <v>0</v>
      </c>
      <c r="I2651" s="26">
        <v>0</v>
      </c>
      <c r="J2651" s="26">
        <v>12500</v>
      </c>
      <c r="K2651" s="26">
        <v>0</v>
      </c>
      <c r="L2651" s="26">
        <v>0</v>
      </c>
      <c r="M2651" s="26">
        <v>0</v>
      </c>
      <c r="N2651" s="26">
        <v>0</v>
      </c>
      <c r="O2651" s="285"/>
      <c r="P2651" s="214">
        <v>2328</v>
      </c>
      <c r="Q2651" s="215">
        <v>41</v>
      </c>
      <c r="R2651" s="216">
        <v>4991</v>
      </c>
      <c r="S2651" s="217" t="s">
        <v>2502</v>
      </c>
      <c r="T2651" s="218">
        <v>0</v>
      </c>
      <c r="U2651" s="218">
        <v>0</v>
      </c>
      <c r="V2651" s="218">
        <v>0</v>
      </c>
      <c r="W2651" s="219">
        <v>0</v>
      </c>
    </row>
    <row r="2652" spans="1:23" ht="15" customHeight="1">
      <c r="C2652" s="3">
        <v>41</v>
      </c>
      <c r="E2652" s="14"/>
      <c r="G2652" s="26"/>
      <c r="H2652" s="26"/>
      <c r="I2652" s="26"/>
      <c r="J2652" s="26"/>
      <c r="K2652" s="26"/>
      <c r="L2652" s="26"/>
      <c r="M2652" s="26"/>
      <c r="N2652" s="26"/>
      <c r="P2652" s="222"/>
      <c r="Q2652" s="222"/>
      <c r="R2652" s="222"/>
      <c r="S2652" s="223"/>
      <c r="T2652" s="223"/>
      <c r="U2652" s="223"/>
      <c r="V2652" s="224"/>
      <c r="W2652" s="224"/>
    </row>
    <row r="2653" spans="1:23" s="27" customFormat="1" ht="15" customHeight="1" thickBot="1">
      <c r="A2653" s="2"/>
      <c r="B2653" s="2" t="s">
        <v>2317</v>
      </c>
      <c r="C2653" s="3">
        <v>41</v>
      </c>
      <c r="D2653" s="68" t="s">
        <v>2296</v>
      </c>
      <c r="E2653" s="68"/>
      <c r="F2653" s="320"/>
      <c r="G2653" s="69">
        <f>SUM(G2648:G2652)</f>
        <v>0</v>
      </c>
      <c r="H2653" s="69">
        <f t="shared" ref="H2653:N2653" si="242">SUM(H2648:H2652)</f>
        <v>0</v>
      </c>
      <c r="I2653" s="69">
        <f t="shared" si="242"/>
        <v>9245</v>
      </c>
      <c r="J2653" s="69">
        <f t="shared" si="242"/>
        <v>49806</v>
      </c>
      <c r="K2653" s="69">
        <f t="shared" si="242"/>
        <v>0</v>
      </c>
      <c r="L2653" s="69">
        <f t="shared" si="242"/>
        <v>0</v>
      </c>
      <c r="M2653" s="69">
        <f t="shared" si="242"/>
        <v>0</v>
      </c>
      <c r="N2653" s="69">
        <f t="shared" si="242"/>
        <v>0</v>
      </c>
      <c r="O2653" s="281"/>
      <c r="P2653" s="214">
        <v>2329</v>
      </c>
      <c r="Q2653" s="215">
        <v>41</v>
      </c>
      <c r="R2653" s="216" t="s">
        <v>2620</v>
      </c>
      <c r="S2653" s="217"/>
      <c r="T2653" s="218">
        <v>0</v>
      </c>
      <c r="U2653" s="218">
        <v>0</v>
      </c>
      <c r="V2653" s="218">
        <v>0</v>
      </c>
      <c r="W2653" s="219">
        <v>0</v>
      </c>
    </row>
    <row r="2654" spans="1:23" s="46" customFormat="1" ht="15" customHeight="1" thickTop="1">
      <c r="A2654" s="5"/>
      <c r="B2654" s="5"/>
      <c r="C2654" s="3">
        <v>41</v>
      </c>
      <c r="D2654" s="47"/>
      <c r="E2654" s="47"/>
      <c r="F2654" s="191"/>
      <c r="G2654" s="56"/>
      <c r="H2654" s="56"/>
      <c r="I2654" s="56"/>
      <c r="J2654" s="56"/>
      <c r="K2654" s="56"/>
      <c r="L2654" s="56"/>
      <c r="M2654" s="56"/>
      <c r="N2654" s="56"/>
      <c r="O2654" s="289"/>
      <c r="P2654" s="221"/>
      <c r="Q2654" s="221"/>
      <c r="R2654" s="221"/>
      <c r="S2654" s="221"/>
      <c r="T2654" s="221"/>
      <c r="U2654" s="221"/>
      <c r="V2654" s="221"/>
      <c r="W2654" s="221"/>
    </row>
    <row r="2655" spans="1:23" ht="15" customHeight="1">
      <c r="C2655" s="3">
        <v>41</v>
      </c>
      <c r="D2655" s="15" t="s">
        <v>2412</v>
      </c>
      <c r="G2655" s="26"/>
      <c r="H2655" s="26"/>
      <c r="I2655" s="26"/>
      <c r="J2655" s="26"/>
      <c r="K2655" s="26"/>
      <c r="L2655" s="26"/>
      <c r="M2655" s="26"/>
      <c r="N2655" s="26"/>
      <c r="P2655" s="222"/>
      <c r="Q2655" s="222"/>
      <c r="R2655" s="222"/>
      <c r="S2655" s="223"/>
      <c r="T2655" s="223"/>
      <c r="U2655" s="223"/>
      <c r="V2655" s="224"/>
      <c r="W2655" s="224"/>
    </row>
    <row r="2656" spans="1:23" ht="15" customHeight="1">
      <c r="C2656" s="3">
        <v>41</v>
      </c>
      <c r="G2656" s="26"/>
      <c r="H2656" s="26"/>
      <c r="I2656" s="26"/>
      <c r="J2656" s="26"/>
      <c r="K2656" s="26"/>
      <c r="L2656" s="26"/>
      <c r="M2656" s="26"/>
      <c r="N2656" s="26"/>
      <c r="P2656" s="222"/>
      <c r="Q2656" s="222"/>
      <c r="R2656" s="222"/>
      <c r="S2656" s="223"/>
      <c r="T2656" s="223"/>
      <c r="U2656" s="223"/>
      <c r="V2656" s="224"/>
      <c r="W2656" s="224"/>
    </row>
    <row r="2657" spans="1:23" ht="15" customHeight="1">
      <c r="C2657" s="3">
        <v>41</v>
      </c>
      <c r="D2657" s="15" t="s">
        <v>1850</v>
      </c>
      <c r="E2657" s="312" t="s">
        <v>1851</v>
      </c>
      <c r="G2657" s="26">
        <v>0</v>
      </c>
      <c r="H2657" s="26">
        <v>0</v>
      </c>
      <c r="I2657" s="26">
        <v>4623</v>
      </c>
      <c r="J2657" s="26">
        <v>49806</v>
      </c>
      <c r="K2657" s="26">
        <v>0</v>
      </c>
      <c r="L2657" s="26">
        <v>0</v>
      </c>
      <c r="M2657" s="26">
        <v>0</v>
      </c>
      <c r="N2657" s="26">
        <v>0</v>
      </c>
      <c r="O2657" s="285"/>
      <c r="P2657" s="214">
        <v>2332</v>
      </c>
      <c r="Q2657" s="215">
        <v>41</v>
      </c>
      <c r="R2657" s="216" t="s">
        <v>1850</v>
      </c>
      <c r="S2657" s="217" t="s">
        <v>1851</v>
      </c>
      <c r="T2657" s="218">
        <v>0</v>
      </c>
      <c r="U2657" s="218">
        <v>0</v>
      </c>
      <c r="V2657" s="218">
        <v>0</v>
      </c>
      <c r="W2657" s="219">
        <v>0</v>
      </c>
    </row>
    <row r="2658" spans="1:23" ht="15" customHeight="1">
      <c r="C2658" s="3">
        <v>41</v>
      </c>
      <c r="G2658" s="26"/>
      <c r="H2658" s="26"/>
      <c r="I2658" s="26"/>
      <c r="J2658" s="26"/>
      <c r="K2658" s="26"/>
      <c r="L2658" s="26"/>
      <c r="M2658" s="26"/>
      <c r="N2658" s="26"/>
      <c r="P2658" s="214"/>
      <c r="Q2658" s="215"/>
      <c r="R2658" s="216"/>
      <c r="S2658" s="217"/>
      <c r="T2658" s="218"/>
      <c r="U2658" s="218"/>
      <c r="V2658" s="218"/>
      <c r="W2658" s="219"/>
    </row>
    <row r="2659" spans="1:23" s="64" customFormat="1" ht="15" customHeight="1">
      <c r="A2659" s="64" t="s">
        <v>2411</v>
      </c>
      <c r="B2659" s="64" t="s">
        <v>2317</v>
      </c>
      <c r="C2659" s="3">
        <v>41</v>
      </c>
      <c r="D2659" s="323" t="s">
        <v>2412</v>
      </c>
      <c r="E2659" s="323"/>
      <c r="F2659" s="324"/>
      <c r="G2659" s="325">
        <f>SUM(G2655:G2658)</f>
        <v>0</v>
      </c>
      <c r="H2659" s="325">
        <f t="shared" ref="H2659:N2659" si="243">SUM(H2655:H2658)</f>
        <v>0</v>
      </c>
      <c r="I2659" s="325">
        <f t="shared" si="243"/>
        <v>4623</v>
      </c>
      <c r="J2659" s="325">
        <f t="shared" si="243"/>
        <v>49806</v>
      </c>
      <c r="K2659" s="325">
        <f t="shared" si="243"/>
        <v>0</v>
      </c>
      <c r="L2659" s="325">
        <f t="shared" si="243"/>
        <v>0</v>
      </c>
      <c r="M2659" s="325">
        <f t="shared" si="243"/>
        <v>0</v>
      </c>
      <c r="N2659" s="325">
        <f t="shared" si="243"/>
        <v>0</v>
      </c>
      <c r="O2659" s="308"/>
      <c r="P2659" s="214">
        <v>2334</v>
      </c>
      <c r="Q2659" s="215">
        <v>41</v>
      </c>
      <c r="R2659" s="216" t="s">
        <v>2645</v>
      </c>
      <c r="S2659" s="217"/>
      <c r="T2659" s="218">
        <v>0</v>
      </c>
      <c r="U2659" s="218">
        <v>0</v>
      </c>
      <c r="V2659" s="218">
        <v>0</v>
      </c>
      <c r="W2659" s="219">
        <v>0</v>
      </c>
    </row>
    <row r="2660" spans="1:23" ht="15" customHeight="1">
      <c r="C2660" s="3">
        <v>41</v>
      </c>
      <c r="G2660" s="26"/>
      <c r="H2660" s="26"/>
      <c r="I2660" s="26"/>
      <c r="J2660" s="26"/>
      <c r="K2660" s="26"/>
      <c r="L2660" s="26"/>
      <c r="M2660" s="26"/>
      <c r="N2660" s="26"/>
      <c r="P2660" s="214">
        <v>2335</v>
      </c>
      <c r="Q2660" s="215">
        <v>41</v>
      </c>
      <c r="R2660" s="216" t="s">
        <v>2623</v>
      </c>
      <c r="S2660" s="217"/>
      <c r="T2660" s="218"/>
      <c r="U2660" s="218"/>
      <c r="V2660" s="218"/>
      <c r="W2660" s="219"/>
    </row>
    <row r="2661" spans="1:23" s="43" customFormat="1" ht="15" customHeight="1" thickBot="1">
      <c r="A2661" s="2"/>
      <c r="B2661" s="2" t="s">
        <v>2318</v>
      </c>
      <c r="C2661" s="3">
        <v>41</v>
      </c>
      <c r="D2661" s="68" t="s">
        <v>1994</v>
      </c>
      <c r="E2661" s="326"/>
      <c r="F2661" s="327"/>
      <c r="G2661" s="328">
        <f>+G2659</f>
        <v>0</v>
      </c>
      <c r="H2661" s="328">
        <f t="shared" ref="H2661:N2661" si="244">+H2659</f>
        <v>0</v>
      </c>
      <c r="I2661" s="328">
        <f t="shared" si="244"/>
        <v>4623</v>
      </c>
      <c r="J2661" s="328">
        <f t="shared" si="244"/>
        <v>49806</v>
      </c>
      <c r="K2661" s="328">
        <f t="shared" si="244"/>
        <v>0</v>
      </c>
      <c r="L2661" s="328">
        <f t="shared" si="244"/>
        <v>0</v>
      </c>
      <c r="M2661" s="328">
        <f t="shared" si="244"/>
        <v>0</v>
      </c>
      <c r="N2661" s="328">
        <f t="shared" si="244"/>
        <v>0</v>
      </c>
      <c r="O2661" s="288"/>
      <c r="P2661" s="214">
        <v>2336</v>
      </c>
      <c r="Q2661" s="215">
        <v>41</v>
      </c>
      <c r="R2661" s="216" t="s">
        <v>2617</v>
      </c>
      <c r="S2661" s="217"/>
      <c r="T2661" s="218">
        <v>0</v>
      </c>
      <c r="U2661" s="218">
        <v>0</v>
      </c>
      <c r="V2661" s="218">
        <v>0</v>
      </c>
      <c r="W2661" s="219">
        <v>0</v>
      </c>
    </row>
    <row r="2662" spans="1:23" s="49" customFormat="1" ht="15" customHeight="1" thickTop="1">
      <c r="A2662" s="2"/>
      <c r="B2662" s="2"/>
      <c r="C2662" s="3">
        <v>41</v>
      </c>
      <c r="D2662" s="47"/>
      <c r="E2662" s="15"/>
      <c r="F2662" s="105"/>
      <c r="G2662" s="26"/>
      <c r="H2662" s="26"/>
      <c r="I2662" s="26"/>
      <c r="J2662" s="26"/>
      <c r="K2662" s="26"/>
      <c r="L2662" s="26"/>
      <c r="M2662" s="25"/>
      <c r="N2662" s="25"/>
      <c r="O2662" s="299"/>
      <c r="P2662" s="225"/>
      <c r="Q2662" s="225"/>
      <c r="R2662" s="225"/>
      <c r="S2662" s="225"/>
      <c r="T2662" s="225"/>
      <c r="U2662" s="225"/>
      <c r="V2662" s="225"/>
      <c r="W2662" s="225"/>
    </row>
    <row r="2663" spans="1:23" s="31" customFormat="1" ht="15" customHeight="1">
      <c r="A2663" s="2"/>
      <c r="B2663" s="2" t="s">
        <v>2317</v>
      </c>
      <c r="C2663" s="3">
        <v>41</v>
      </c>
      <c r="D2663" s="47" t="s">
        <v>2272</v>
      </c>
      <c r="E2663" s="47"/>
      <c r="F2663" s="191"/>
      <c r="G2663" s="56">
        <f>SUM(G2660:G2662)</f>
        <v>0</v>
      </c>
      <c r="H2663" s="56">
        <f t="shared" ref="H2663:N2663" si="245">SUM(H2660:H2662)</f>
        <v>0</v>
      </c>
      <c r="I2663" s="56">
        <f t="shared" si="245"/>
        <v>4623</v>
      </c>
      <c r="J2663" s="56">
        <f t="shared" si="245"/>
        <v>49806</v>
      </c>
      <c r="K2663" s="56">
        <f t="shared" si="245"/>
        <v>0</v>
      </c>
      <c r="L2663" s="56">
        <f t="shared" si="245"/>
        <v>0</v>
      </c>
      <c r="M2663" s="56">
        <f t="shared" si="245"/>
        <v>0</v>
      </c>
      <c r="N2663" s="56">
        <f t="shared" si="245"/>
        <v>0</v>
      </c>
      <c r="O2663" s="305"/>
      <c r="P2663" s="214">
        <v>2337</v>
      </c>
      <c r="Q2663" s="215">
        <v>41</v>
      </c>
      <c r="R2663" s="216" t="s">
        <v>2618</v>
      </c>
      <c r="S2663" s="217"/>
      <c r="T2663" s="218">
        <v>0</v>
      </c>
      <c r="U2663" s="218">
        <v>0</v>
      </c>
      <c r="V2663" s="218">
        <v>0</v>
      </c>
      <c r="W2663" s="219">
        <v>0</v>
      </c>
    </row>
    <row r="2664" spans="1:23" s="46" customFormat="1" ht="15" customHeight="1">
      <c r="A2664" s="5"/>
      <c r="B2664" s="5"/>
      <c r="C2664" s="3">
        <v>41</v>
      </c>
      <c r="D2664" s="47"/>
      <c r="E2664" s="47"/>
      <c r="F2664" s="191"/>
      <c r="G2664" s="56"/>
      <c r="H2664" s="56"/>
      <c r="I2664" s="56"/>
      <c r="J2664" s="56"/>
      <c r="K2664" s="56"/>
      <c r="L2664" s="56"/>
      <c r="M2664" s="56"/>
      <c r="N2664" s="56"/>
      <c r="O2664" s="289"/>
      <c r="P2664" s="221"/>
      <c r="Q2664" s="221"/>
      <c r="R2664" s="221"/>
      <c r="S2664" s="221"/>
      <c r="T2664" s="221"/>
      <c r="U2664" s="221"/>
      <c r="V2664" s="221"/>
      <c r="W2664" s="221"/>
    </row>
    <row r="2665" spans="1:23" s="33" customFormat="1" ht="15" customHeight="1" thickBot="1">
      <c r="A2665" s="2"/>
      <c r="B2665" s="2" t="s">
        <v>2317</v>
      </c>
      <c r="C2665" s="3">
        <v>41</v>
      </c>
      <c r="D2665" s="335" t="s">
        <v>2247</v>
      </c>
      <c r="E2665" s="336"/>
      <c r="F2665" s="336">
        <f>+F2689</f>
        <v>0</v>
      </c>
      <c r="G2665" s="336">
        <f>+G2653-G2663</f>
        <v>0</v>
      </c>
      <c r="H2665" s="336">
        <f t="shared" ref="H2665:N2665" si="246">+H2653-H2663</f>
        <v>0</v>
      </c>
      <c r="I2665" s="336">
        <f t="shared" si="246"/>
        <v>4622</v>
      </c>
      <c r="J2665" s="336">
        <f t="shared" si="246"/>
        <v>0</v>
      </c>
      <c r="K2665" s="336">
        <f t="shared" si="246"/>
        <v>0</v>
      </c>
      <c r="L2665" s="336">
        <f t="shared" si="246"/>
        <v>0</v>
      </c>
      <c r="M2665" s="336">
        <f t="shared" si="246"/>
        <v>0</v>
      </c>
      <c r="N2665" s="336">
        <f t="shared" si="246"/>
        <v>0</v>
      </c>
      <c r="O2665" s="301"/>
      <c r="P2665" s="214">
        <v>2338</v>
      </c>
      <c r="Q2665" s="215">
        <v>41</v>
      </c>
      <c r="R2665" s="216" t="s">
        <v>2619</v>
      </c>
      <c r="S2665" s="217"/>
      <c r="T2665" s="218">
        <v>0</v>
      </c>
      <c r="U2665" s="218">
        <v>0</v>
      </c>
      <c r="V2665" s="218">
        <v>0</v>
      </c>
      <c r="W2665" s="219">
        <v>0</v>
      </c>
    </row>
    <row r="2666" spans="1:23" s="46" customFormat="1" ht="15" customHeight="1" thickTop="1">
      <c r="A2666" s="5"/>
      <c r="B2666" s="5"/>
      <c r="C2666" s="3">
        <v>41</v>
      </c>
      <c r="D2666" s="58"/>
      <c r="E2666" s="56"/>
      <c r="F2666" s="56"/>
      <c r="G2666" s="56"/>
      <c r="H2666" s="56"/>
      <c r="I2666" s="56"/>
      <c r="J2666" s="56"/>
      <c r="K2666" s="56"/>
      <c r="L2666" s="56"/>
      <c r="M2666" s="56"/>
      <c r="N2666" s="56"/>
      <c r="O2666" s="289"/>
      <c r="P2666" s="221"/>
      <c r="Q2666" s="221"/>
      <c r="R2666" s="221"/>
      <c r="S2666" s="221"/>
      <c r="T2666" s="221"/>
      <c r="U2666" s="221"/>
      <c r="V2666" s="221"/>
      <c r="W2666" s="221"/>
    </row>
    <row r="2667" spans="1:23" ht="15" customHeight="1">
      <c r="C2667" s="3">
        <v>41</v>
      </c>
      <c r="D2667" s="54" t="s">
        <v>2875</v>
      </c>
      <c r="E2667" s="54"/>
      <c r="F2667" s="192"/>
      <c r="G2667" s="55"/>
      <c r="H2667" s="55"/>
      <c r="I2667" s="55"/>
      <c r="J2667" s="55">
        <f>K2631</f>
        <v>37586.449999999997</v>
      </c>
      <c r="K2667" s="55">
        <f>+K2647</f>
        <v>37586.449999999997</v>
      </c>
      <c r="L2667" s="55"/>
      <c r="M2667" s="55">
        <f>+M2647</f>
        <v>0</v>
      </c>
      <c r="N2667" s="55">
        <f>+N2647</f>
        <v>0</v>
      </c>
      <c r="O2667" s="253">
        <f>+O2644</f>
        <v>0</v>
      </c>
      <c r="P2667" s="203"/>
      <c r="Q2667" s="204"/>
      <c r="R2667" s="205"/>
      <c r="S2667" s="206"/>
      <c r="T2667" s="207"/>
      <c r="U2667" s="207"/>
      <c r="V2667" s="208"/>
      <c r="W2667" s="212"/>
    </row>
    <row r="2668" spans="1:23" s="46" customFormat="1" ht="15" customHeight="1">
      <c r="A2668" s="195"/>
      <c r="B2668" s="195"/>
      <c r="C2668" s="3">
        <v>41</v>
      </c>
      <c r="D2668" s="58"/>
      <c r="E2668" s="56"/>
      <c r="F2668" s="56"/>
      <c r="G2668" s="56"/>
      <c r="H2668" s="56"/>
      <c r="I2668" s="56"/>
      <c r="J2668" s="56"/>
      <c r="K2668" s="56"/>
      <c r="L2668" s="56"/>
      <c r="M2668" s="56"/>
      <c r="N2668" s="56"/>
      <c r="O2668" s="289"/>
      <c r="P2668" s="221"/>
      <c r="Q2668" s="221"/>
      <c r="R2668" s="221"/>
      <c r="S2668" s="221"/>
      <c r="T2668" s="221"/>
      <c r="U2668" s="221"/>
      <c r="V2668" s="221"/>
      <c r="W2668" s="221"/>
    </row>
    <row r="2669" spans="1:23" s="35" customFormat="1" ht="15" customHeight="1">
      <c r="A2669" s="2"/>
      <c r="B2669" s="2"/>
      <c r="C2669" s="3">
        <v>41</v>
      </c>
      <c r="D2669" s="47" t="s">
        <v>1976</v>
      </c>
      <c r="E2669" s="47"/>
      <c r="F2669" s="191"/>
      <c r="G2669" s="48"/>
      <c r="H2669" s="48"/>
      <c r="I2669" s="48"/>
      <c r="J2669" s="48"/>
      <c r="K2669" s="48"/>
      <c r="L2669" s="48"/>
      <c r="M2669" s="48"/>
      <c r="N2669" s="48"/>
      <c r="O2669" s="276"/>
      <c r="P2669" s="214">
        <v>2339</v>
      </c>
      <c r="Q2669" s="215">
        <v>41</v>
      </c>
      <c r="R2669" s="216" t="s">
        <v>2630</v>
      </c>
      <c r="S2669" s="217"/>
      <c r="T2669" s="218"/>
      <c r="U2669" s="218"/>
      <c r="V2669" s="218"/>
      <c r="W2669" s="219"/>
    </row>
    <row r="2670" spans="1:23" s="35" customFormat="1" ht="15" customHeight="1">
      <c r="A2670" s="2"/>
      <c r="B2670" s="2"/>
      <c r="C2670" s="3"/>
      <c r="D2670" s="47"/>
      <c r="E2670" s="47"/>
      <c r="F2670" s="191"/>
      <c r="G2670" s="48"/>
      <c r="H2670" s="48"/>
      <c r="I2670" s="48"/>
      <c r="J2670" s="48"/>
      <c r="K2670" s="48"/>
      <c r="L2670" s="48"/>
      <c r="M2670" s="48"/>
      <c r="N2670" s="48"/>
      <c r="O2670" s="276"/>
    </row>
    <row r="2671" spans="1:23" s="35" customFormat="1" ht="15" customHeight="1">
      <c r="A2671" s="2"/>
      <c r="B2671" s="2"/>
      <c r="C2671" s="3"/>
      <c r="D2671" s="47"/>
      <c r="E2671" s="47"/>
      <c r="F2671" s="191"/>
      <c r="G2671" s="48"/>
      <c r="H2671" s="48"/>
      <c r="I2671" s="48"/>
      <c r="J2671" s="48"/>
      <c r="K2671" s="48"/>
      <c r="L2671" s="48"/>
      <c r="M2671" s="48"/>
      <c r="N2671" s="48"/>
      <c r="O2671" s="276"/>
    </row>
    <row r="2672" spans="1:23" s="35" customFormat="1" ht="15" customHeight="1">
      <c r="A2672" s="2"/>
      <c r="B2672" s="2"/>
      <c r="C2672" s="3"/>
      <c r="D2672" s="47"/>
      <c r="E2672" s="47"/>
      <c r="F2672" s="191"/>
      <c r="G2672" s="48"/>
      <c r="H2672" s="48"/>
      <c r="I2672" s="48"/>
      <c r="J2672" s="48"/>
      <c r="K2672" s="48"/>
      <c r="L2672" s="48"/>
      <c r="M2672" s="48"/>
      <c r="N2672" s="48"/>
      <c r="O2672" s="276"/>
    </row>
    <row r="2673" spans="1:23" s="35" customFormat="1" ht="15" customHeight="1">
      <c r="A2673" s="2"/>
      <c r="B2673" s="2"/>
      <c r="C2673" s="3">
        <v>42</v>
      </c>
      <c r="D2673" s="47" t="s">
        <v>2385</v>
      </c>
      <c r="E2673" s="47"/>
      <c r="F2673" s="191"/>
      <c r="G2673" s="48"/>
      <c r="H2673" s="48"/>
      <c r="I2673" s="48"/>
      <c r="J2673" s="48"/>
      <c r="K2673" s="48"/>
      <c r="L2673" s="48"/>
      <c r="M2673" s="48"/>
      <c r="N2673" s="48"/>
      <c r="O2673" s="276"/>
    </row>
    <row r="2674" spans="1:23" s="35" customFormat="1" ht="15" customHeight="1">
      <c r="A2674" s="2"/>
      <c r="B2674" s="2"/>
      <c r="C2674" s="3">
        <v>42</v>
      </c>
      <c r="D2674" s="47"/>
      <c r="E2674" s="47"/>
      <c r="F2674" s="191"/>
      <c r="G2674" s="48"/>
      <c r="H2674" s="48"/>
      <c r="I2674" s="48"/>
      <c r="J2674" s="48"/>
      <c r="K2674" s="48"/>
      <c r="L2674" s="48"/>
      <c r="M2674" s="48"/>
      <c r="N2674" s="48"/>
      <c r="O2674" s="276"/>
    </row>
    <row r="2675" spans="1:23" ht="15" customHeight="1">
      <c r="C2675" s="3">
        <v>42</v>
      </c>
      <c r="D2675" s="54" t="s">
        <v>2874</v>
      </c>
      <c r="E2675" s="54"/>
      <c r="F2675" s="192"/>
      <c r="G2675" s="55"/>
      <c r="H2675" s="55"/>
      <c r="I2675" s="55"/>
      <c r="J2675" s="55"/>
      <c r="K2675" s="55">
        <v>22263.83</v>
      </c>
      <c r="L2675" s="55"/>
      <c r="M2675" s="55">
        <v>22263.83</v>
      </c>
      <c r="N2675" s="55">
        <f>+M2691</f>
        <v>22263.83</v>
      </c>
      <c r="O2675" s="278"/>
      <c r="P2675" s="203"/>
      <c r="Q2675" s="204"/>
      <c r="R2675" s="205"/>
      <c r="S2675" s="206"/>
      <c r="T2675" s="207"/>
      <c r="U2675" s="207"/>
      <c r="V2675" s="208"/>
      <c r="W2675" s="212"/>
    </row>
    <row r="2676" spans="1:23" s="35" customFormat="1" ht="15" customHeight="1">
      <c r="A2676" s="2"/>
      <c r="B2676" s="2"/>
      <c r="C2676" s="3">
        <v>42</v>
      </c>
      <c r="D2676" s="47"/>
      <c r="E2676" s="47"/>
      <c r="F2676" s="191"/>
      <c r="G2676" s="48"/>
      <c r="H2676" s="48"/>
      <c r="I2676" s="48"/>
      <c r="J2676" s="48"/>
      <c r="K2676" s="48"/>
      <c r="L2676" s="48"/>
      <c r="M2676" s="48"/>
      <c r="N2676" s="48"/>
      <c r="O2676" s="276"/>
    </row>
    <row r="2677" spans="1:23" ht="15" customHeight="1">
      <c r="C2677" s="3">
        <v>42</v>
      </c>
      <c r="D2677" s="47" t="s">
        <v>2223</v>
      </c>
      <c r="G2677" s="26"/>
      <c r="H2677" s="26"/>
      <c r="I2677" s="26"/>
      <c r="J2677" s="26"/>
      <c r="K2677" s="26"/>
      <c r="L2677" s="26"/>
      <c r="M2677" s="26"/>
      <c r="N2677" s="26"/>
      <c r="P2677" s="214">
        <v>2340</v>
      </c>
      <c r="Q2677" s="215">
        <v>42</v>
      </c>
      <c r="R2677" s="216" t="s">
        <v>2610</v>
      </c>
      <c r="S2677" s="217"/>
      <c r="T2677" s="218"/>
      <c r="U2677" s="218"/>
      <c r="V2677" s="218"/>
      <c r="W2677" s="219"/>
    </row>
    <row r="2678" spans="1:23" ht="15" customHeight="1">
      <c r="C2678" s="3">
        <v>42</v>
      </c>
      <c r="G2678" s="26"/>
      <c r="H2678" s="26"/>
      <c r="I2678" s="26"/>
      <c r="J2678" s="26"/>
      <c r="K2678" s="26"/>
      <c r="L2678" s="26"/>
      <c r="M2678" s="26"/>
      <c r="N2678" s="26"/>
      <c r="P2678" s="214">
        <v>2341</v>
      </c>
      <c r="Q2678" s="215">
        <v>42</v>
      </c>
      <c r="R2678" s="216" t="s">
        <v>2611</v>
      </c>
      <c r="S2678" s="217"/>
      <c r="T2678" s="218"/>
      <c r="U2678" s="218"/>
      <c r="V2678" s="218"/>
      <c r="W2678" s="219"/>
    </row>
    <row r="2679" spans="1:23" s="21" customFormat="1" ht="15" customHeight="1">
      <c r="A2679" s="2"/>
      <c r="B2679" s="2" t="s">
        <v>2318</v>
      </c>
      <c r="C2679" s="3">
        <v>42</v>
      </c>
      <c r="D2679" s="54" t="s">
        <v>2199</v>
      </c>
      <c r="E2679" s="54"/>
      <c r="F2679" s="192"/>
      <c r="G2679" s="55">
        <f>+G2681</f>
        <v>0</v>
      </c>
      <c r="H2679" s="55">
        <f t="shared" ref="H2679:N2679" si="247">+H2681</f>
        <v>0</v>
      </c>
      <c r="I2679" s="55">
        <f t="shared" si="247"/>
        <v>25850</v>
      </c>
      <c r="J2679" s="55">
        <f t="shared" si="247"/>
        <v>226121</v>
      </c>
      <c r="K2679" s="55">
        <f t="shared" si="247"/>
        <v>0</v>
      </c>
      <c r="L2679" s="55">
        <f t="shared" si="247"/>
        <v>8361</v>
      </c>
      <c r="M2679" s="55">
        <f t="shared" si="247"/>
        <v>0</v>
      </c>
      <c r="N2679" s="55">
        <f t="shared" si="247"/>
        <v>0</v>
      </c>
      <c r="O2679" s="279"/>
      <c r="P2679" s="214">
        <v>2342</v>
      </c>
      <c r="Q2679" s="215">
        <v>42</v>
      </c>
      <c r="R2679" s="216" t="s">
        <v>2612</v>
      </c>
      <c r="S2679" s="217"/>
      <c r="T2679" s="218">
        <v>0</v>
      </c>
      <c r="U2679" s="218">
        <v>0.35</v>
      </c>
      <c r="V2679" s="218">
        <v>8361.93</v>
      </c>
      <c r="W2679" s="219">
        <v>0</v>
      </c>
    </row>
    <row r="2680" spans="1:23" s="57" customFormat="1" ht="15" customHeight="1">
      <c r="A2680" s="5"/>
      <c r="B2680" s="5"/>
      <c r="C2680" s="3">
        <v>42</v>
      </c>
      <c r="D2680" s="54"/>
      <c r="E2680" s="54"/>
      <c r="F2680" s="192"/>
      <c r="G2680" s="55"/>
      <c r="H2680" s="55"/>
      <c r="I2680" s="55"/>
      <c r="J2680" s="55"/>
      <c r="K2680" s="55"/>
      <c r="L2680" s="55"/>
      <c r="M2680" s="55"/>
      <c r="N2680" s="55"/>
      <c r="O2680" s="302"/>
      <c r="P2680" s="220"/>
      <c r="Q2680" s="220"/>
      <c r="R2680" s="220"/>
      <c r="S2680" s="220"/>
      <c r="T2680" s="220"/>
      <c r="U2680" s="220"/>
      <c r="V2680" s="220"/>
      <c r="W2680" s="220"/>
    </row>
    <row r="2681" spans="1:23" s="27" customFormat="1" ht="15" customHeight="1" thickBot="1">
      <c r="A2681" s="2"/>
      <c r="B2681" s="2" t="s">
        <v>2318</v>
      </c>
      <c r="C2681" s="3">
        <v>42</v>
      </c>
      <c r="D2681" s="68" t="str">
        <f>+D2697</f>
        <v>*** TOTAL FUND 42 REVENUES ***</v>
      </c>
      <c r="E2681" s="68"/>
      <c r="F2681" s="68">
        <f>+F2697</f>
        <v>0</v>
      </c>
      <c r="G2681" s="69">
        <f>+G2697</f>
        <v>0</v>
      </c>
      <c r="H2681" s="69">
        <f t="shared" ref="H2681:N2681" si="248">+H2697</f>
        <v>0</v>
      </c>
      <c r="I2681" s="69">
        <f t="shared" si="248"/>
        <v>25850</v>
      </c>
      <c r="J2681" s="69">
        <f t="shared" si="248"/>
        <v>226121</v>
      </c>
      <c r="K2681" s="69">
        <f t="shared" si="248"/>
        <v>0</v>
      </c>
      <c r="L2681" s="69">
        <f t="shared" si="248"/>
        <v>8361</v>
      </c>
      <c r="M2681" s="69">
        <f t="shared" si="248"/>
        <v>0</v>
      </c>
      <c r="N2681" s="69">
        <f t="shared" si="248"/>
        <v>0</v>
      </c>
      <c r="O2681" s="281"/>
      <c r="P2681" s="214">
        <v>2343</v>
      </c>
      <c r="Q2681" s="215">
        <v>42</v>
      </c>
      <c r="R2681" s="216" t="s">
        <v>2613</v>
      </c>
      <c r="S2681" s="217"/>
      <c r="T2681" s="218">
        <v>0</v>
      </c>
      <c r="U2681" s="218">
        <v>0.35</v>
      </c>
      <c r="V2681" s="218">
        <v>8361.93</v>
      </c>
      <c r="W2681" s="219">
        <v>0</v>
      </c>
    </row>
    <row r="2682" spans="1:23" s="46" customFormat="1" ht="15" customHeight="1" thickTop="1">
      <c r="A2682" s="5"/>
      <c r="B2682" s="5"/>
      <c r="C2682" s="3">
        <v>42</v>
      </c>
      <c r="D2682" s="47"/>
      <c r="E2682" s="47"/>
      <c r="F2682" s="47"/>
      <c r="G2682" s="56"/>
      <c r="H2682" s="56"/>
      <c r="I2682" s="56"/>
      <c r="J2682" s="56"/>
      <c r="K2682" s="56"/>
      <c r="L2682" s="56"/>
      <c r="M2682" s="56"/>
      <c r="N2682" s="56"/>
      <c r="O2682" s="289"/>
      <c r="P2682" s="221"/>
      <c r="Q2682" s="221"/>
      <c r="R2682" s="221"/>
      <c r="S2682" s="221"/>
      <c r="T2682" s="221"/>
      <c r="U2682" s="221"/>
      <c r="V2682" s="221"/>
      <c r="W2682" s="221"/>
    </row>
    <row r="2683" spans="1:23" ht="15" customHeight="1">
      <c r="C2683" s="3">
        <v>42</v>
      </c>
      <c r="D2683" s="47" t="s">
        <v>1977</v>
      </c>
      <c r="G2683" s="26"/>
      <c r="H2683" s="26"/>
      <c r="I2683" s="26"/>
      <c r="J2683" s="26"/>
      <c r="K2683" s="26"/>
      <c r="L2683" s="26"/>
      <c r="M2683" s="26"/>
      <c r="N2683" s="26"/>
      <c r="P2683" s="214">
        <v>2344</v>
      </c>
      <c r="Q2683" s="215">
        <v>42</v>
      </c>
      <c r="R2683" s="216" t="s">
        <v>2614</v>
      </c>
      <c r="S2683" s="217"/>
      <c r="T2683" s="218"/>
      <c r="U2683" s="218"/>
      <c r="V2683" s="218"/>
      <c r="W2683" s="219"/>
    </row>
    <row r="2684" spans="1:23" ht="15" customHeight="1">
      <c r="C2684" s="3">
        <v>42</v>
      </c>
      <c r="G2684" s="26"/>
      <c r="H2684" s="26"/>
      <c r="I2684" s="26"/>
      <c r="J2684" s="26"/>
      <c r="K2684" s="26"/>
      <c r="L2684" s="26"/>
      <c r="M2684" s="26"/>
      <c r="N2684" s="26"/>
      <c r="P2684" s="214">
        <v>2345</v>
      </c>
      <c r="Q2684" s="215">
        <v>42</v>
      </c>
      <c r="R2684" s="216" t="s">
        <v>2615</v>
      </c>
      <c r="S2684" s="217"/>
      <c r="T2684" s="218"/>
      <c r="U2684" s="218"/>
      <c r="V2684" s="218"/>
      <c r="W2684" s="219"/>
    </row>
    <row r="2685" spans="1:23" ht="15" customHeight="1">
      <c r="B2685" s="2" t="s">
        <v>2318</v>
      </c>
      <c r="C2685" s="3">
        <v>42</v>
      </c>
      <c r="D2685" s="47" t="s">
        <v>1667</v>
      </c>
      <c r="G2685" s="26">
        <f>+G2714</f>
        <v>0</v>
      </c>
      <c r="H2685" s="26">
        <f t="shared" ref="H2685:N2685" si="249">+H2714</f>
        <v>0</v>
      </c>
      <c r="I2685" s="26">
        <f t="shared" si="249"/>
        <v>11828</v>
      </c>
      <c r="J2685" s="26">
        <f t="shared" si="249"/>
        <v>4228</v>
      </c>
      <c r="K2685" s="26">
        <f t="shared" si="249"/>
        <v>0</v>
      </c>
      <c r="L2685" s="26">
        <f t="shared" si="249"/>
        <v>0</v>
      </c>
      <c r="M2685" s="26">
        <f t="shared" si="249"/>
        <v>0</v>
      </c>
      <c r="N2685" s="26">
        <f t="shared" si="249"/>
        <v>0</v>
      </c>
      <c r="P2685" s="214">
        <v>2346</v>
      </c>
      <c r="Q2685" s="215">
        <v>42</v>
      </c>
      <c r="R2685" s="216" t="s">
        <v>1667</v>
      </c>
      <c r="S2685" s="217"/>
      <c r="T2685" s="218">
        <v>0</v>
      </c>
      <c r="U2685" s="218">
        <v>0</v>
      </c>
      <c r="V2685" s="218">
        <v>8349.35</v>
      </c>
      <c r="W2685" s="219">
        <v>0</v>
      </c>
    </row>
    <row r="2686" spans="1:23" ht="15" customHeight="1">
      <c r="C2686" s="3">
        <v>42</v>
      </c>
      <c r="D2686" s="47"/>
      <c r="G2686" s="26"/>
      <c r="H2686" s="26"/>
      <c r="I2686" s="26"/>
      <c r="J2686" s="26"/>
      <c r="K2686" s="26"/>
      <c r="L2686" s="26"/>
      <c r="M2686" s="26"/>
      <c r="N2686" s="26"/>
      <c r="P2686" s="221"/>
      <c r="Q2686" s="221"/>
      <c r="R2686" s="221"/>
      <c r="S2686" s="221"/>
      <c r="T2686" s="221"/>
      <c r="U2686" s="221"/>
      <c r="V2686" s="221"/>
      <c r="W2686" s="221"/>
    </row>
    <row r="2687" spans="1:23" s="37" customFormat="1" ht="15" customHeight="1">
      <c r="A2687" s="2"/>
      <c r="B2687" s="2" t="s">
        <v>2318</v>
      </c>
      <c r="C2687" s="3">
        <v>42</v>
      </c>
      <c r="D2687" s="54" t="str">
        <f>+D2716</f>
        <v>*** TOTAL FUND 42 EXPENSES ***</v>
      </c>
      <c r="E2687" s="54"/>
      <c r="F2687" s="54">
        <f t="shared" ref="F2687:N2687" si="250">+F2716</f>
        <v>0</v>
      </c>
      <c r="G2687" s="339">
        <f t="shared" si="250"/>
        <v>0</v>
      </c>
      <c r="H2687" s="339">
        <f t="shared" si="250"/>
        <v>0</v>
      </c>
      <c r="I2687" s="339">
        <f t="shared" si="250"/>
        <v>25850</v>
      </c>
      <c r="J2687" s="339">
        <f t="shared" si="250"/>
        <v>225725</v>
      </c>
      <c r="K2687" s="339">
        <f t="shared" si="250"/>
        <v>0</v>
      </c>
      <c r="L2687" s="339">
        <f t="shared" si="250"/>
        <v>8350</v>
      </c>
      <c r="M2687" s="339">
        <f t="shared" si="250"/>
        <v>0</v>
      </c>
      <c r="N2687" s="339">
        <f t="shared" si="250"/>
        <v>0</v>
      </c>
      <c r="O2687" s="303"/>
      <c r="P2687" s="214">
        <v>2347</v>
      </c>
      <c r="Q2687" s="215">
        <v>42</v>
      </c>
      <c r="R2687" s="216" t="s">
        <v>2618</v>
      </c>
      <c r="S2687" s="217"/>
      <c r="T2687" s="218">
        <v>0</v>
      </c>
      <c r="U2687" s="218">
        <v>0</v>
      </c>
      <c r="V2687" s="218">
        <v>8349.35</v>
      </c>
      <c r="W2687" s="219">
        <v>0</v>
      </c>
    </row>
    <row r="2688" spans="1:23" s="46" customFormat="1" ht="15" customHeight="1">
      <c r="A2688" s="5"/>
      <c r="B2688" s="5"/>
      <c r="C2688" s="3">
        <v>42</v>
      </c>
      <c r="D2688" s="47"/>
      <c r="E2688" s="47"/>
      <c r="F2688" s="47"/>
      <c r="G2688" s="56"/>
      <c r="H2688" s="56"/>
      <c r="I2688" s="56"/>
      <c r="J2688" s="56"/>
      <c r="K2688" s="56"/>
      <c r="L2688" s="56"/>
      <c r="M2688" s="56"/>
      <c r="N2688" s="56"/>
      <c r="O2688" s="289"/>
      <c r="P2688" s="221"/>
      <c r="Q2688" s="221"/>
      <c r="R2688" s="221"/>
      <c r="S2688" s="221"/>
      <c r="T2688" s="221"/>
      <c r="U2688" s="221"/>
      <c r="V2688" s="221"/>
      <c r="W2688" s="221"/>
    </row>
    <row r="2689" spans="1:23" s="33" customFormat="1" ht="15" customHeight="1" thickBot="1">
      <c r="A2689" s="2"/>
      <c r="B2689" s="2" t="s">
        <v>2318</v>
      </c>
      <c r="C2689" s="3">
        <v>42</v>
      </c>
      <c r="D2689" s="335" t="str">
        <f>+D2718</f>
        <v>*** FUND 42 REVENUES OVER(UNDER) EXPENSES ***</v>
      </c>
      <c r="E2689" s="335"/>
      <c r="F2689" s="335">
        <f t="shared" ref="F2689:N2689" si="251">+F2718</f>
        <v>0</v>
      </c>
      <c r="G2689" s="336">
        <f t="shared" si="251"/>
        <v>0</v>
      </c>
      <c r="H2689" s="336">
        <f t="shared" si="251"/>
        <v>0</v>
      </c>
      <c r="I2689" s="336">
        <f t="shared" si="251"/>
        <v>0</v>
      </c>
      <c r="J2689" s="336">
        <f t="shared" si="251"/>
        <v>396</v>
      </c>
      <c r="K2689" s="336">
        <f t="shared" si="251"/>
        <v>0</v>
      </c>
      <c r="L2689" s="336">
        <f t="shared" si="251"/>
        <v>11</v>
      </c>
      <c r="M2689" s="336">
        <f t="shared" si="251"/>
        <v>0</v>
      </c>
      <c r="N2689" s="336">
        <f t="shared" si="251"/>
        <v>0</v>
      </c>
      <c r="O2689" s="301"/>
      <c r="P2689" s="214">
        <v>2348</v>
      </c>
      <c r="Q2689" s="215">
        <v>42</v>
      </c>
      <c r="R2689" s="216" t="s">
        <v>2619</v>
      </c>
      <c r="S2689" s="217"/>
      <c r="T2689" s="218">
        <v>0</v>
      </c>
      <c r="U2689" s="218">
        <v>0.35</v>
      </c>
      <c r="V2689" s="218">
        <v>12.58</v>
      </c>
      <c r="W2689" s="219">
        <v>0</v>
      </c>
    </row>
    <row r="2690" spans="1:23" s="46" customFormat="1" ht="15" customHeight="1" thickTop="1">
      <c r="A2690" s="5"/>
      <c r="B2690" s="5"/>
      <c r="C2690" s="3">
        <v>42</v>
      </c>
      <c r="D2690" s="58"/>
      <c r="E2690" s="58"/>
      <c r="F2690" s="58"/>
      <c r="G2690" s="56"/>
      <c r="H2690" s="56"/>
      <c r="I2690" s="56"/>
      <c r="J2690" s="56"/>
      <c r="K2690" s="56"/>
      <c r="L2690" s="56"/>
      <c r="M2690" s="56"/>
      <c r="N2690" s="56"/>
      <c r="O2690" s="289"/>
      <c r="P2690" s="221"/>
      <c r="Q2690" s="221"/>
      <c r="R2690" s="221"/>
      <c r="S2690" s="221"/>
      <c r="T2690" s="221"/>
      <c r="U2690" s="221"/>
      <c r="V2690" s="221"/>
      <c r="W2690" s="221"/>
    </row>
    <row r="2691" spans="1:23" ht="15" customHeight="1">
      <c r="C2691" s="3">
        <v>42</v>
      </c>
      <c r="D2691" s="54" t="s">
        <v>2875</v>
      </c>
      <c r="E2691" s="54"/>
      <c r="F2691" s="192"/>
      <c r="G2691" s="55"/>
      <c r="H2691" s="55"/>
      <c r="I2691" s="55"/>
      <c r="J2691" s="55"/>
      <c r="K2691" s="55">
        <f>+K2675+K2681-K2687</f>
        <v>22263.83</v>
      </c>
      <c r="L2691" s="55"/>
      <c r="M2691" s="55">
        <f>+M2675+M2681-M2687</f>
        <v>22263.83</v>
      </c>
      <c r="N2691" s="55">
        <f>+N2675+N2681-N2687</f>
        <v>22263.83</v>
      </c>
      <c r="O2691" s="253"/>
      <c r="P2691" s="203"/>
      <c r="Q2691" s="204"/>
      <c r="R2691" s="205"/>
      <c r="S2691" s="206"/>
      <c r="T2691" s="207"/>
      <c r="U2691" s="207"/>
      <c r="V2691" s="208"/>
      <c r="W2691" s="212"/>
    </row>
    <row r="2692" spans="1:23" s="46" customFormat="1" ht="15" customHeight="1">
      <c r="A2692" s="195"/>
      <c r="B2692" s="195"/>
      <c r="C2692" s="3">
        <v>42</v>
      </c>
      <c r="D2692" s="58"/>
      <c r="E2692" s="58"/>
      <c r="F2692" s="58"/>
      <c r="G2692" s="56"/>
      <c r="H2692" s="56"/>
      <c r="I2692" s="56"/>
      <c r="J2692" s="56"/>
      <c r="K2692" s="56"/>
      <c r="L2692" s="56"/>
      <c r="M2692" s="56"/>
      <c r="N2692" s="56"/>
      <c r="O2692" s="289"/>
      <c r="P2692" s="221"/>
      <c r="Q2692" s="221"/>
      <c r="R2692" s="221"/>
      <c r="S2692" s="221"/>
      <c r="T2692" s="221"/>
      <c r="U2692" s="221"/>
      <c r="V2692" s="221"/>
      <c r="W2692" s="221"/>
    </row>
    <row r="2693" spans="1:23" s="46" customFormat="1" ht="15" customHeight="1">
      <c r="A2693" s="193"/>
      <c r="B2693" s="193"/>
      <c r="C2693" s="3">
        <v>42</v>
      </c>
      <c r="D2693" s="15">
        <v>4330</v>
      </c>
      <c r="E2693" s="312" t="s">
        <v>2503</v>
      </c>
      <c r="F2693" s="58"/>
      <c r="G2693" s="26">
        <v>0</v>
      </c>
      <c r="H2693" s="26">
        <v>0</v>
      </c>
      <c r="I2693" s="26">
        <v>0</v>
      </c>
      <c r="J2693" s="26">
        <v>41</v>
      </c>
      <c r="K2693" s="26">
        <v>0</v>
      </c>
      <c r="L2693" s="26">
        <v>12</v>
      </c>
      <c r="M2693" s="56">
        <v>0</v>
      </c>
      <c r="N2693" s="56">
        <v>0</v>
      </c>
      <c r="O2693" s="289"/>
      <c r="P2693" s="214">
        <v>2349</v>
      </c>
      <c r="Q2693" s="215">
        <v>42</v>
      </c>
      <c r="R2693" s="216">
        <v>4330</v>
      </c>
      <c r="S2693" s="217" t="s">
        <v>2503</v>
      </c>
      <c r="T2693" s="218">
        <v>0</v>
      </c>
      <c r="U2693" s="218">
        <v>0.35</v>
      </c>
      <c r="V2693" s="218">
        <v>12.58</v>
      </c>
      <c r="W2693" s="219">
        <v>0</v>
      </c>
    </row>
    <row r="2694" spans="1:23" s="46" customFormat="1" ht="15" customHeight="1">
      <c r="A2694" s="193"/>
      <c r="B2694" s="193"/>
      <c r="C2694" s="3">
        <v>42</v>
      </c>
      <c r="D2694" s="15">
        <v>4990</v>
      </c>
      <c r="E2694" s="312" t="s">
        <v>70</v>
      </c>
      <c r="F2694" s="58"/>
      <c r="G2694" s="26">
        <v>0</v>
      </c>
      <c r="H2694" s="26">
        <v>0</v>
      </c>
      <c r="I2694" s="26">
        <v>25850</v>
      </c>
      <c r="J2694" s="26">
        <v>203857</v>
      </c>
      <c r="K2694" s="26">
        <v>0</v>
      </c>
      <c r="L2694" s="26">
        <v>8349</v>
      </c>
      <c r="M2694" s="56">
        <v>0</v>
      </c>
      <c r="N2694" s="56">
        <v>0</v>
      </c>
      <c r="O2694" s="289"/>
      <c r="P2694" s="214">
        <v>2350</v>
      </c>
      <c r="Q2694" s="215">
        <v>42</v>
      </c>
      <c r="R2694" s="216">
        <v>4990</v>
      </c>
      <c r="S2694" s="217" t="s">
        <v>70</v>
      </c>
      <c r="T2694" s="218">
        <v>0</v>
      </c>
      <c r="U2694" s="218">
        <v>0</v>
      </c>
      <c r="V2694" s="218">
        <v>8349.35</v>
      </c>
      <c r="W2694" s="219">
        <v>0</v>
      </c>
    </row>
    <row r="2695" spans="1:23" ht="15" customHeight="1">
      <c r="C2695" s="3">
        <v>42</v>
      </c>
      <c r="D2695" s="15">
        <v>4991</v>
      </c>
      <c r="E2695" s="312" t="s">
        <v>2502</v>
      </c>
      <c r="G2695" s="26">
        <v>0</v>
      </c>
      <c r="H2695" s="26">
        <v>0</v>
      </c>
      <c r="I2695" s="26">
        <v>0</v>
      </c>
      <c r="J2695" s="26">
        <v>22223</v>
      </c>
      <c r="K2695" s="26">
        <v>0</v>
      </c>
      <c r="L2695" s="26">
        <v>0</v>
      </c>
      <c r="M2695" s="26">
        <v>0</v>
      </c>
      <c r="N2695" s="26">
        <v>0</v>
      </c>
      <c r="P2695" s="214">
        <v>2351</v>
      </c>
      <c r="Q2695" s="215">
        <v>42</v>
      </c>
      <c r="R2695" s="216">
        <v>4991</v>
      </c>
      <c r="S2695" s="217" t="s">
        <v>2502</v>
      </c>
      <c r="T2695" s="218">
        <v>0</v>
      </c>
      <c r="U2695" s="218">
        <v>0</v>
      </c>
      <c r="V2695" s="218">
        <v>0</v>
      </c>
      <c r="W2695" s="219">
        <v>0</v>
      </c>
    </row>
    <row r="2696" spans="1:23" ht="15" customHeight="1">
      <c r="C2696" s="3">
        <v>42</v>
      </c>
      <c r="E2696" s="14"/>
      <c r="G2696" s="26"/>
      <c r="H2696" s="26"/>
      <c r="I2696" s="26"/>
      <c r="J2696" s="26"/>
      <c r="K2696" s="26"/>
      <c r="L2696" s="26"/>
      <c r="M2696" s="26"/>
      <c r="N2696" s="26"/>
      <c r="P2696" s="222"/>
      <c r="Q2696" s="222"/>
      <c r="R2696" s="222"/>
      <c r="S2696" s="223"/>
      <c r="T2696" s="223"/>
      <c r="U2696" s="223"/>
      <c r="V2696" s="224"/>
      <c r="W2696" s="224"/>
    </row>
    <row r="2697" spans="1:23" s="27" customFormat="1" ht="15" customHeight="1" thickBot="1">
      <c r="A2697" s="2"/>
      <c r="B2697" s="2" t="s">
        <v>2317</v>
      </c>
      <c r="C2697" s="3">
        <v>42</v>
      </c>
      <c r="D2697" s="68" t="s">
        <v>2297</v>
      </c>
      <c r="E2697" s="68"/>
      <c r="F2697" s="320"/>
      <c r="G2697" s="69">
        <f>SUM(G2692:G2696)</f>
        <v>0</v>
      </c>
      <c r="H2697" s="69">
        <f t="shared" ref="H2697:N2697" si="252">SUM(H2692:H2696)</f>
        <v>0</v>
      </c>
      <c r="I2697" s="69">
        <f t="shared" si="252"/>
        <v>25850</v>
      </c>
      <c r="J2697" s="69">
        <f t="shared" si="252"/>
        <v>226121</v>
      </c>
      <c r="K2697" s="69">
        <f t="shared" si="252"/>
        <v>0</v>
      </c>
      <c r="L2697" s="69">
        <f t="shared" si="252"/>
        <v>8361</v>
      </c>
      <c r="M2697" s="69">
        <f t="shared" si="252"/>
        <v>0</v>
      </c>
      <c r="N2697" s="69">
        <f t="shared" si="252"/>
        <v>0</v>
      </c>
      <c r="O2697" s="281"/>
      <c r="P2697" s="214">
        <v>2352</v>
      </c>
      <c r="Q2697" s="215">
        <v>42</v>
      </c>
      <c r="R2697" s="216" t="s">
        <v>2620</v>
      </c>
      <c r="S2697" s="217"/>
      <c r="T2697" s="218">
        <v>0</v>
      </c>
      <c r="U2697" s="218">
        <v>0.35</v>
      </c>
      <c r="V2697" s="218">
        <v>8361.93</v>
      </c>
      <c r="W2697" s="219">
        <v>0</v>
      </c>
    </row>
    <row r="2698" spans="1:23" s="46" customFormat="1" ht="15" customHeight="1" thickTop="1">
      <c r="A2698" s="5"/>
      <c r="B2698" s="5"/>
      <c r="C2698" s="3">
        <v>42</v>
      </c>
      <c r="D2698" s="47"/>
      <c r="E2698" s="47"/>
      <c r="F2698" s="191"/>
      <c r="G2698" s="56"/>
      <c r="H2698" s="56"/>
      <c r="I2698" s="56"/>
      <c r="J2698" s="56"/>
      <c r="K2698" s="56"/>
      <c r="L2698" s="56"/>
      <c r="M2698" s="56"/>
      <c r="N2698" s="56"/>
      <c r="O2698" s="289"/>
      <c r="P2698" s="221"/>
      <c r="Q2698" s="221"/>
      <c r="R2698" s="221"/>
      <c r="S2698" s="221"/>
      <c r="T2698" s="221"/>
      <c r="U2698" s="221"/>
      <c r="V2698" s="221"/>
      <c r="W2698" s="221"/>
    </row>
    <row r="2699" spans="1:23" ht="15" customHeight="1">
      <c r="C2699" s="3">
        <v>42</v>
      </c>
      <c r="D2699" s="47" t="s">
        <v>1975</v>
      </c>
      <c r="G2699" s="26"/>
      <c r="H2699" s="26"/>
      <c r="I2699" s="26"/>
      <c r="J2699" s="26"/>
      <c r="K2699" s="26"/>
      <c r="L2699" s="26"/>
      <c r="M2699" s="26"/>
      <c r="N2699" s="26"/>
      <c r="P2699" s="214">
        <v>2353</v>
      </c>
      <c r="Q2699" s="215">
        <v>42</v>
      </c>
      <c r="R2699" s="216" t="s">
        <v>245</v>
      </c>
      <c r="S2699" s="217"/>
      <c r="T2699" s="218"/>
      <c r="U2699" s="218"/>
      <c r="V2699" s="218"/>
      <c r="W2699" s="219"/>
    </row>
    <row r="2700" spans="1:23" ht="15" customHeight="1">
      <c r="C2700" s="3">
        <v>42</v>
      </c>
      <c r="G2700" s="26"/>
      <c r="H2700" s="26"/>
      <c r="I2700" s="26"/>
      <c r="J2700" s="26"/>
      <c r="K2700" s="26"/>
      <c r="L2700" s="26"/>
      <c r="M2700" s="26"/>
      <c r="N2700" s="26"/>
      <c r="P2700" s="214">
        <v>2354</v>
      </c>
      <c r="Q2700" s="215">
        <v>42</v>
      </c>
      <c r="R2700" s="216" t="s">
        <v>2628</v>
      </c>
      <c r="S2700" s="217"/>
      <c r="T2700" s="218"/>
      <c r="U2700" s="218"/>
      <c r="V2700" s="218"/>
      <c r="W2700" s="219"/>
    </row>
    <row r="2701" spans="1:23" ht="15" customHeight="1">
      <c r="C2701" s="3">
        <v>42</v>
      </c>
      <c r="D2701" s="15" t="s">
        <v>1670</v>
      </c>
      <c r="E2701" s="312" t="s">
        <v>1671</v>
      </c>
      <c r="G2701" s="26">
        <v>0</v>
      </c>
      <c r="H2701" s="26">
        <v>0</v>
      </c>
      <c r="I2701" s="26">
        <v>0</v>
      </c>
      <c r="J2701" s="26">
        <v>6698</v>
      </c>
      <c r="K2701" s="26">
        <v>0</v>
      </c>
      <c r="L2701" s="26">
        <v>4323</v>
      </c>
      <c r="M2701" s="26">
        <v>0</v>
      </c>
      <c r="N2701" s="26">
        <v>0</v>
      </c>
      <c r="O2701" s="285"/>
      <c r="P2701" s="214">
        <v>2355</v>
      </c>
      <c r="Q2701" s="215">
        <v>42</v>
      </c>
      <c r="R2701" s="216" t="s">
        <v>1670</v>
      </c>
      <c r="S2701" s="217" t="s">
        <v>1671</v>
      </c>
      <c r="T2701" s="218">
        <v>0</v>
      </c>
      <c r="U2701" s="218">
        <v>0</v>
      </c>
      <c r="V2701" s="218">
        <v>4322.5</v>
      </c>
      <c r="W2701" s="219">
        <v>0</v>
      </c>
    </row>
    <row r="2702" spans="1:23" ht="15" customHeight="1">
      <c r="C2702" s="3">
        <v>42</v>
      </c>
      <c r="D2702" s="15" t="s">
        <v>1672</v>
      </c>
      <c r="E2702" s="312" t="s">
        <v>1673</v>
      </c>
      <c r="G2702" s="26">
        <v>0</v>
      </c>
      <c r="H2702" s="26">
        <v>0</v>
      </c>
      <c r="I2702" s="26">
        <v>14022</v>
      </c>
      <c r="J2702" s="26">
        <v>18753</v>
      </c>
      <c r="K2702" s="26">
        <v>0</v>
      </c>
      <c r="L2702" s="26">
        <v>2883</v>
      </c>
      <c r="M2702" s="26">
        <v>0</v>
      </c>
      <c r="N2702" s="26">
        <v>0</v>
      </c>
      <c r="O2702" s="285"/>
      <c r="P2702" s="214">
        <v>2356</v>
      </c>
      <c r="Q2702" s="215">
        <v>42</v>
      </c>
      <c r="R2702" s="216" t="s">
        <v>1672</v>
      </c>
      <c r="S2702" s="217" t="s">
        <v>1673</v>
      </c>
      <c r="T2702" s="218">
        <v>0</v>
      </c>
      <c r="U2702" s="218">
        <v>0</v>
      </c>
      <c r="V2702" s="218">
        <v>2882.55</v>
      </c>
      <c r="W2702" s="219">
        <v>0</v>
      </c>
    </row>
    <row r="2703" spans="1:23" ht="15" customHeight="1">
      <c r="C2703" s="3">
        <v>42</v>
      </c>
      <c r="D2703" s="15" t="s">
        <v>1676</v>
      </c>
      <c r="E2703" s="312" t="s">
        <v>1677</v>
      </c>
      <c r="G2703" s="26">
        <v>0</v>
      </c>
      <c r="H2703" s="26">
        <v>0</v>
      </c>
      <c r="I2703" s="26">
        <v>0</v>
      </c>
      <c r="J2703" s="26">
        <v>196046</v>
      </c>
      <c r="K2703" s="26">
        <v>0</v>
      </c>
      <c r="L2703" s="26">
        <v>1144</v>
      </c>
      <c r="M2703" s="26">
        <v>0</v>
      </c>
      <c r="N2703" s="26">
        <v>0</v>
      </c>
      <c r="O2703" s="285"/>
      <c r="P2703" s="214">
        <v>2357</v>
      </c>
      <c r="Q2703" s="215">
        <v>42</v>
      </c>
      <c r="R2703" s="216" t="s">
        <v>1676</v>
      </c>
      <c r="S2703" s="217" t="s">
        <v>1677</v>
      </c>
      <c r="T2703" s="218">
        <v>0</v>
      </c>
      <c r="U2703" s="218">
        <v>0</v>
      </c>
      <c r="V2703" s="218">
        <v>1144.3</v>
      </c>
      <c r="W2703" s="219">
        <v>0</v>
      </c>
    </row>
    <row r="2704" spans="1:23" ht="15" customHeight="1">
      <c r="C2704" s="3">
        <v>42</v>
      </c>
      <c r="D2704" s="15" t="s">
        <v>1678</v>
      </c>
      <c r="E2704" s="312" t="s">
        <v>1679</v>
      </c>
      <c r="G2704" s="26">
        <v>0</v>
      </c>
      <c r="H2704" s="26">
        <v>0</v>
      </c>
      <c r="I2704" s="26">
        <v>0</v>
      </c>
      <c r="J2704" s="26">
        <v>0</v>
      </c>
      <c r="K2704" s="26">
        <v>0</v>
      </c>
      <c r="L2704" s="26">
        <v>0</v>
      </c>
      <c r="M2704" s="26">
        <v>0</v>
      </c>
      <c r="N2704" s="26">
        <v>0</v>
      </c>
      <c r="O2704" s="285"/>
      <c r="P2704" s="214">
        <v>2358</v>
      </c>
      <c r="Q2704" s="215">
        <v>42</v>
      </c>
      <c r="R2704" s="216" t="s">
        <v>1678</v>
      </c>
      <c r="S2704" s="217" t="s">
        <v>1679</v>
      </c>
      <c r="T2704" s="218">
        <v>0</v>
      </c>
      <c r="U2704" s="218">
        <v>0</v>
      </c>
      <c r="V2704" s="218">
        <v>0</v>
      </c>
      <c r="W2704" s="219">
        <v>0</v>
      </c>
    </row>
    <row r="2705" spans="1:23" ht="15" customHeight="1">
      <c r="C2705" s="3">
        <v>42</v>
      </c>
      <c r="G2705" s="26"/>
      <c r="H2705" s="26"/>
      <c r="I2705" s="26"/>
      <c r="J2705" s="26"/>
      <c r="K2705" s="26"/>
      <c r="L2705" s="26"/>
      <c r="M2705" s="26"/>
      <c r="N2705" s="26"/>
      <c r="P2705" s="214">
        <v>2359</v>
      </c>
      <c r="Q2705" s="215">
        <v>42</v>
      </c>
      <c r="R2705" s="216" t="s">
        <v>2623</v>
      </c>
      <c r="S2705" s="217"/>
      <c r="T2705" s="218"/>
      <c r="U2705" s="218"/>
      <c r="V2705" s="218"/>
      <c r="W2705" s="219"/>
    </row>
    <row r="2706" spans="1:23" s="24" customFormat="1" ht="15" customHeight="1">
      <c r="A2706" s="2" t="s">
        <v>245</v>
      </c>
      <c r="B2706" s="2" t="s">
        <v>2317</v>
      </c>
      <c r="C2706" s="3">
        <v>42</v>
      </c>
      <c r="D2706" s="323" t="s">
        <v>1971</v>
      </c>
      <c r="E2706" s="323"/>
      <c r="F2706" s="324"/>
      <c r="G2706" s="325">
        <f>SUM(G2699:G2705)</f>
        <v>0</v>
      </c>
      <c r="H2706" s="325">
        <f t="shared" ref="H2706:N2706" si="253">SUM(H2699:H2705)</f>
        <v>0</v>
      </c>
      <c r="I2706" s="325">
        <f t="shared" si="253"/>
        <v>14022</v>
      </c>
      <c r="J2706" s="325">
        <f t="shared" si="253"/>
        <v>221497</v>
      </c>
      <c r="K2706" s="325">
        <f t="shared" si="253"/>
        <v>0</v>
      </c>
      <c r="L2706" s="325">
        <f t="shared" si="253"/>
        <v>8350</v>
      </c>
      <c r="M2706" s="325">
        <f t="shared" si="253"/>
        <v>0</v>
      </c>
      <c r="N2706" s="325">
        <f t="shared" si="253"/>
        <v>0</v>
      </c>
      <c r="O2706" s="292"/>
      <c r="P2706" s="214">
        <v>2360</v>
      </c>
      <c r="Q2706" s="215">
        <v>42</v>
      </c>
      <c r="R2706" s="216" t="s">
        <v>245</v>
      </c>
      <c r="S2706" s="217"/>
      <c r="T2706" s="218">
        <v>0</v>
      </c>
      <c r="U2706" s="218">
        <v>0</v>
      </c>
      <c r="V2706" s="218">
        <v>8349.35</v>
      </c>
      <c r="W2706" s="219">
        <v>0</v>
      </c>
    </row>
    <row r="2707" spans="1:23" s="46" customFormat="1" ht="15" customHeight="1">
      <c r="A2707" s="5"/>
      <c r="B2707" s="5"/>
      <c r="C2707" s="3">
        <v>42</v>
      </c>
      <c r="D2707" s="47"/>
      <c r="E2707" s="47"/>
      <c r="F2707" s="191"/>
      <c r="G2707" s="48"/>
      <c r="H2707" s="48"/>
      <c r="I2707" s="48"/>
      <c r="J2707" s="48"/>
      <c r="K2707" s="48"/>
      <c r="L2707" s="48"/>
      <c r="M2707" s="48"/>
      <c r="N2707" s="48"/>
      <c r="O2707" s="289"/>
      <c r="P2707" s="221"/>
      <c r="Q2707" s="221"/>
      <c r="R2707" s="221"/>
      <c r="S2707" s="221"/>
      <c r="T2707" s="221"/>
      <c r="U2707" s="221"/>
      <c r="V2707" s="221"/>
      <c r="W2707" s="221"/>
    </row>
    <row r="2708" spans="1:23" ht="15" customHeight="1">
      <c r="C2708" s="3">
        <v>42</v>
      </c>
      <c r="D2708" s="47" t="s">
        <v>1853</v>
      </c>
      <c r="G2708" s="26"/>
      <c r="H2708" s="26"/>
      <c r="I2708" s="26"/>
      <c r="J2708" s="26"/>
      <c r="K2708" s="26"/>
      <c r="L2708" s="26"/>
      <c r="M2708" s="26"/>
      <c r="N2708" s="26"/>
      <c r="P2708" s="222"/>
      <c r="Q2708" s="222"/>
      <c r="R2708" s="222"/>
      <c r="S2708" s="223"/>
      <c r="T2708" s="223"/>
      <c r="U2708" s="223"/>
      <c r="V2708" s="224"/>
      <c r="W2708" s="224"/>
    </row>
    <row r="2709" spans="1:23" ht="15" customHeight="1">
      <c r="C2709" s="3">
        <v>42</v>
      </c>
      <c r="G2709" s="26"/>
      <c r="H2709" s="26"/>
      <c r="I2709" s="26"/>
      <c r="J2709" s="26"/>
      <c r="K2709" s="26"/>
      <c r="L2709" s="26"/>
      <c r="M2709" s="26"/>
      <c r="N2709" s="26"/>
      <c r="P2709" s="222"/>
      <c r="Q2709" s="222"/>
      <c r="R2709" s="222"/>
      <c r="S2709" s="223"/>
      <c r="T2709" s="223"/>
      <c r="U2709" s="223"/>
      <c r="V2709" s="224"/>
      <c r="W2709" s="224"/>
    </row>
    <row r="2710" spans="1:23" ht="15" customHeight="1">
      <c r="C2710" s="3">
        <v>42</v>
      </c>
      <c r="D2710" s="15" t="s">
        <v>1852</v>
      </c>
      <c r="E2710" s="312" t="s">
        <v>1853</v>
      </c>
      <c r="G2710" s="26">
        <v>0</v>
      </c>
      <c r="H2710" s="26">
        <v>0</v>
      </c>
      <c r="I2710" s="26">
        <v>11828</v>
      </c>
      <c r="J2710" s="26">
        <v>4228</v>
      </c>
      <c r="K2710" s="26">
        <v>0</v>
      </c>
      <c r="L2710" s="26">
        <v>0</v>
      </c>
      <c r="M2710" s="26">
        <v>0</v>
      </c>
      <c r="N2710" s="26">
        <v>0</v>
      </c>
      <c r="O2710" s="285"/>
      <c r="P2710" s="214">
        <v>2363</v>
      </c>
      <c r="Q2710" s="215">
        <v>42</v>
      </c>
      <c r="R2710" s="216" t="s">
        <v>1852</v>
      </c>
      <c r="S2710" s="217" t="s">
        <v>1853</v>
      </c>
      <c r="T2710" s="218">
        <v>0</v>
      </c>
      <c r="U2710" s="218">
        <v>0</v>
      </c>
      <c r="V2710" s="218">
        <v>0</v>
      </c>
      <c r="W2710" s="219">
        <v>0</v>
      </c>
    </row>
    <row r="2711" spans="1:23" ht="15" customHeight="1">
      <c r="C2711" s="3">
        <v>42</v>
      </c>
      <c r="G2711" s="26"/>
      <c r="H2711" s="26"/>
      <c r="I2711" s="26"/>
      <c r="J2711" s="26"/>
      <c r="K2711" s="26"/>
      <c r="L2711" s="26"/>
      <c r="M2711" s="26"/>
      <c r="N2711" s="26"/>
      <c r="P2711" s="214"/>
      <c r="Q2711" s="215"/>
      <c r="R2711" s="216"/>
      <c r="S2711" s="217"/>
      <c r="T2711" s="218"/>
      <c r="U2711" s="218"/>
      <c r="V2711" s="218"/>
      <c r="W2711" s="219"/>
    </row>
    <row r="2712" spans="1:23" s="66" customFormat="1" ht="15" customHeight="1">
      <c r="A2712" s="66" t="s">
        <v>2411</v>
      </c>
      <c r="B2712" s="66" t="s">
        <v>2317</v>
      </c>
      <c r="C2712" s="3">
        <v>42</v>
      </c>
      <c r="D2712" s="323" t="s">
        <v>1853</v>
      </c>
      <c r="E2712" s="337"/>
      <c r="F2712" s="338"/>
      <c r="G2712" s="322">
        <f>SUM(G2708:G2711)</f>
        <v>0</v>
      </c>
      <c r="H2712" s="322">
        <f t="shared" ref="H2712:N2712" si="254">SUM(H2708:H2711)</f>
        <v>0</v>
      </c>
      <c r="I2712" s="322">
        <f t="shared" si="254"/>
        <v>11828</v>
      </c>
      <c r="J2712" s="322">
        <f t="shared" si="254"/>
        <v>4228</v>
      </c>
      <c r="K2712" s="322">
        <f t="shared" si="254"/>
        <v>0</v>
      </c>
      <c r="L2712" s="322">
        <f t="shared" si="254"/>
        <v>0</v>
      </c>
      <c r="M2712" s="322">
        <f t="shared" si="254"/>
        <v>0</v>
      </c>
      <c r="N2712" s="322">
        <f t="shared" si="254"/>
        <v>0</v>
      </c>
      <c r="O2712" s="298"/>
      <c r="P2712" s="214">
        <v>2365</v>
      </c>
      <c r="Q2712" s="215">
        <v>42</v>
      </c>
      <c r="R2712" s="216" t="s">
        <v>2639</v>
      </c>
      <c r="S2712" s="217"/>
      <c r="T2712" s="218">
        <v>0</v>
      </c>
      <c r="U2712" s="218">
        <v>0</v>
      </c>
      <c r="V2712" s="218">
        <v>0</v>
      </c>
      <c r="W2712" s="219">
        <v>0</v>
      </c>
    </row>
    <row r="2713" spans="1:23" ht="15" customHeight="1">
      <c r="C2713" s="3">
        <v>42</v>
      </c>
      <c r="G2713" s="26"/>
      <c r="H2713" s="26"/>
      <c r="I2713" s="26"/>
      <c r="J2713" s="26"/>
      <c r="K2713" s="26"/>
      <c r="L2713" s="26"/>
      <c r="M2713" s="26"/>
      <c r="N2713" s="26"/>
      <c r="P2713" s="214">
        <v>2366</v>
      </c>
      <c r="Q2713" s="215">
        <v>42</v>
      </c>
      <c r="R2713" s="216" t="s">
        <v>2623</v>
      </c>
      <c r="S2713" s="217"/>
      <c r="T2713" s="218"/>
      <c r="U2713" s="218"/>
      <c r="V2713" s="218"/>
      <c r="W2713" s="219"/>
    </row>
    <row r="2714" spans="1:23" s="53" customFormat="1" ht="15" customHeight="1">
      <c r="B2714" s="53" t="s">
        <v>2318</v>
      </c>
      <c r="C2714" s="3">
        <v>42</v>
      </c>
      <c r="D2714" s="323" t="s">
        <v>1667</v>
      </c>
      <c r="E2714" s="337"/>
      <c r="F2714" s="338"/>
      <c r="G2714" s="322">
        <f>+G2712</f>
        <v>0</v>
      </c>
      <c r="H2714" s="322">
        <f t="shared" ref="H2714:N2714" si="255">+H2712</f>
        <v>0</v>
      </c>
      <c r="I2714" s="322">
        <f t="shared" si="255"/>
        <v>11828</v>
      </c>
      <c r="J2714" s="322">
        <f t="shared" si="255"/>
        <v>4228</v>
      </c>
      <c r="K2714" s="322">
        <f t="shared" si="255"/>
        <v>0</v>
      </c>
      <c r="L2714" s="322">
        <f t="shared" si="255"/>
        <v>0</v>
      </c>
      <c r="M2714" s="322">
        <f t="shared" si="255"/>
        <v>0</v>
      </c>
      <c r="N2714" s="322">
        <f t="shared" si="255"/>
        <v>0</v>
      </c>
      <c r="O2714" s="304"/>
      <c r="P2714" s="214">
        <v>2367</v>
      </c>
      <c r="Q2714" s="215">
        <v>42</v>
      </c>
      <c r="R2714" s="216" t="s">
        <v>1667</v>
      </c>
      <c r="S2714" s="217"/>
      <c r="T2714" s="218">
        <v>0</v>
      </c>
      <c r="U2714" s="218">
        <v>0</v>
      </c>
      <c r="V2714" s="218">
        <v>8349.35</v>
      </c>
      <c r="W2714" s="219">
        <v>0</v>
      </c>
    </row>
    <row r="2715" spans="1:23" ht="15" customHeight="1">
      <c r="C2715" s="3">
        <v>42</v>
      </c>
      <c r="D2715" s="47"/>
      <c r="G2715" s="26"/>
      <c r="H2715" s="26"/>
      <c r="I2715" s="26"/>
      <c r="J2715" s="26"/>
      <c r="K2715" s="26"/>
      <c r="L2715" s="26"/>
      <c r="M2715" s="26"/>
      <c r="N2715" s="26"/>
      <c r="P2715" s="222"/>
      <c r="Q2715" s="222"/>
      <c r="R2715" s="222"/>
      <c r="S2715" s="223"/>
      <c r="T2715" s="223"/>
      <c r="U2715" s="223"/>
      <c r="V2715" s="224"/>
      <c r="W2715" s="224"/>
    </row>
    <row r="2716" spans="1:23" s="31" customFormat="1" ht="15" customHeight="1">
      <c r="A2716" s="2"/>
      <c r="B2716" s="2" t="s">
        <v>2317</v>
      </c>
      <c r="C2716" s="3">
        <v>42</v>
      </c>
      <c r="D2716" s="54" t="s">
        <v>2273</v>
      </c>
      <c r="E2716" s="54"/>
      <c r="F2716" s="192"/>
      <c r="G2716" s="339">
        <f>+G2714+G2706</f>
        <v>0</v>
      </c>
      <c r="H2716" s="339">
        <f t="shared" ref="H2716:N2716" si="256">+H2714+H2706</f>
        <v>0</v>
      </c>
      <c r="I2716" s="339">
        <f t="shared" si="256"/>
        <v>25850</v>
      </c>
      <c r="J2716" s="339">
        <f t="shared" si="256"/>
        <v>225725</v>
      </c>
      <c r="K2716" s="339">
        <f t="shared" si="256"/>
        <v>0</v>
      </c>
      <c r="L2716" s="339">
        <f t="shared" si="256"/>
        <v>8350</v>
      </c>
      <c r="M2716" s="339">
        <f t="shared" si="256"/>
        <v>0</v>
      </c>
      <c r="N2716" s="339">
        <f t="shared" si="256"/>
        <v>0</v>
      </c>
      <c r="O2716" s="305"/>
      <c r="P2716" s="214">
        <v>2368</v>
      </c>
      <c r="Q2716" s="215">
        <v>42</v>
      </c>
      <c r="R2716" s="216" t="s">
        <v>2618</v>
      </c>
      <c r="S2716" s="217"/>
      <c r="T2716" s="218">
        <v>0</v>
      </c>
      <c r="U2716" s="218">
        <v>0</v>
      </c>
      <c r="V2716" s="218">
        <v>8349.35</v>
      </c>
      <c r="W2716" s="219">
        <v>0</v>
      </c>
    </row>
    <row r="2717" spans="1:23" s="46" customFormat="1" ht="15" customHeight="1">
      <c r="A2717" s="5"/>
      <c r="B2717" s="5"/>
      <c r="C2717" s="3">
        <v>42</v>
      </c>
      <c r="D2717" s="47"/>
      <c r="E2717" s="47"/>
      <c r="F2717" s="191"/>
      <c r="G2717" s="56"/>
      <c r="H2717" s="56"/>
      <c r="I2717" s="56"/>
      <c r="J2717" s="56"/>
      <c r="K2717" s="56"/>
      <c r="L2717" s="56"/>
      <c r="M2717" s="56"/>
      <c r="N2717" s="56"/>
      <c r="O2717" s="289"/>
      <c r="P2717" s="221"/>
      <c r="Q2717" s="221"/>
      <c r="R2717" s="221"/>
      <c r="S2717" s="221"/>
      <c r="T2717" s="221"/>
      <c r="U2717" s="221"/>
      <c r="V2717" s="221"/>
      <c r="W2717" s="221"/>
    </row>
    <row r="2718" spans="1:23" s="33" customFormat="1" ht="15" customHeight="1" thickBot="1">
      <c r="A2718" s="2"/>
      <c r="B2718" s="2" t="s">
        <v>2317</v>
      </c>
      <c r="C2718" s="3">
        <v>42</v>
      </c>
      <c r="D2718" s="329" t="s">
        <v>2248</v>
      </c>
      <c r="E2718" s="329"/>
      <c r="F2718" s="330"/>
      <c r="G2718" s="336">
        <f>+G2697-G2716</f>
        <v>0</v>
      </c>
      <c r="H2718" s="336">
        <f t="shared" ref="H2718:N2718" si="257">+H2697-H2716</f>
        <v>0</v>
      </c>
      <c r="I2718" s="336">
        <f t="shared" si="257"/>
        <v>0</v>
      </c>
      <c r="J2718" s="336">
        <f t="shared" si="257"/>
        <v>396</v>
      </c>
      <c r="K2718" s="336">
        <f t="shared" si="257"/>
        <v>0</v>
      </c>
      <c r="L2718" s="336">
        <f t="shared" si="257"/>
        <v>11</v>
      </c>
      <c r="M2718" s="336">
        <f t="shared" si="257"/>
        <v>0</v>
      </c>
      <c r="N2718" s="336">
        <f t="shared" si="257"/>
        <v>0</v>
      </c>
      <c r="O2718" s="301"/>
      <c r="P2718" s="214">
        <v>2369</v>
      </c>
      <c r="Q2718" s="215">
        <v>42</v>
      </c>
      <c r="R2718" s="216" t="s">
        <v>2619</v>
      </c>
      <c r="S2718" s="217"/>
      <c r="T2718" s="218">
        <v>0</v>
      </c>
      <c r="U2718" s="218">
        <v>0.35</v>
      </c>
      <c r="V2718" s="218">
        <v>12.58</v>
      </c>
      <c r="W2718" s="219">
        <v>0</v>
      </c>
    </row>
    <row r="2719" spans="1:23" s="46" customFormat="1" ht="15" customHeight="1" thickTop="1">
      <c r="A2719" s="5"/>
      <c r="B2719" s="5"/>
      <c r="C2719" s="3">
        <v>42</v>
      </c>
      <c r="D2719" s="47"/>
      <c r="E2719" s="47"/>
      <c r="F2719" s="191"/>
      <c r="G2719" s="56"/>
      <c r="H2719" s="56"/>
      <c r="I2719" s="56"/>
      <c r="J2719" s="56"/>
      <c r="K2719" s="56"/>
      <c r="L2719" s="56"/>
      <c r="M2719" s="56"/>
      <c r="N2719" s="56"/>
      <c r="O2719" s="289"/>
      <c r="P2719" s="221"/>
      <c r="Q2719" s="221"/>
      <c r="R2719" s="221"/>
      <c r="S2719" s="221"/>
      <c r="T2719" s="221"/>
      <c r="U2719" s="221"/>
      <c r="V2719" s="221"/>
      <c r="W2719" s="221"/>
    </row>
    <row r="2720" spans="1:23" ht="15" customHeight="1">
      <c r="C2720" s="3">
        <v>42</v>
      </c>
      <c r="D2720" s="54" t="s">
        <v>2875</v>
      </c>
      <c r="E2720" s="54"/>
      <c r="F2720" s="192"/>
      <c r="G2720" s="55"/>
      <c r="H2720" s="55"/>
      <c r="I2720" s="55"/>
      <c r="J2720" s="55">
        <v>0</v>
      </c>
      <c r="K2720" s="55">
        <f>+K2691</f>
        <v>22263.83</v>
      </c>
      <c r="L2720" s="55"/>
      <c r="M2720" s="55">
        <f>+M2691</f>
        <v>22263.83</v>
      </c>
      <c r="N2720" s="55">
        <f>+N2691</f>
        <v>22263.83</v>
      </c>
      <c r="O2720" s="253"/>
      <c r="P2720" s="203"/>
      <c r="Q2720" s="204"/>
      <c r="R2720" s="205"/>
      <c r="S2720" s="206"/>
      <c r="T2720" s="207"/>
      <c r="U2720" s="207"/>
      <c r="V2720" s="208"/>
      <c r="W2720" s="212"/>
    </row>
    <row r="2721" spans="1:23" s="46" customFormat="1" ht="15" customHeight="1">
      <c r="A2721" s="195"/>
      <c r="B2721" s="195"/>
      <c r="C2721" s="3">
        <v>42</v>
      </c>
      <c r="D2721" s="47"/>
      <c r="E2721" s="47"/>
      <c r="F2721" s="191"/>
      <c r="G2721" s="56"/>
      <c r="H2721" s="56"/>
      <c r="I2721" s="56"/>
      <c r="J2721" s="56"/>
      <c r="K2721" s="56"/>
      <c r="L2721" s="56"/>
      <c r="M2721" s="56"/>
      <c r="N2721" s="56"/>
      <c r="O2721" s="289"/>
      <c r="P2721" s="221"/>
      <c r="Q2721" s="221"/>
      <c r="R2721" s="221"/>
      <c r="S2721" s="221"/>
      <c r="T2721" s="221"/>
      <c r="U2721" s="221"/>
      <c r="V2721" s="221"/>
      <c r="W2721" s="221"/>
    </row>
    <row r="2722" spans="1:23" s="35" customFormat="1" ht="15" customHeight="1">
      <c r="A2722" s="2"/>
      <c r="B2722" s="2"/>
      <c r="C2722" s="3">
        <v>42</v>
      </c>
      <c r="D2722" s="47" t="s">
        <v>1976</v>
      </c>
      <c r="E2722" s="47"/>
      <c r="F2722" s="191"/>
      <c r="G2722" s="48"/>
      <c r="H2722" s="48"/>
      <c r="I2722" s="48"/>
      <c r="J2722" s="48"/>
      <c r="K2722" s="48"/>
      <c r="L2722" s="48"/>
      <c r="M2722" s="48"/>
      <c r="N2722" s="48"/>
      <c r="O2722" s="276"/>
      <c r="P2722" s="214">
        <v>2370</v>
      </c>
      <c r="Q2722" s="215">
        <v>42</v>
      </c>
      <c r="R2722" s="216" t="s">
        <v>2630</v>
      </c>
      <c r="S2722" s="217"/>
      <c r="T2722" s="218"/>
      <c r="U2722" s="218"/>
      <c r="V2722" s="218"/>
      <c r="W2722" s="219"/>
    </row>
    <row r="2723" spans="1:23" s="35" customFormat="1" ht="15" customHeight="1">
      <c r="A2723" s="2"/>
      <c r="B2723" s="2"/>
      <c r="C2723" s="3"/>
      <c r="D2723" s="47"/>
      <c r="E2723" s="47"/>
      <c r="F2723" s="191"/>
      <c r="G2723" s="48"/>
      <c r="H2723" s="48"/>
      <c r="I2723" s="48"/>
      <c r="J2723" s="48"/>
      <c r="K2723" s="48"/>
      <c r="L2723" s="48"/>
      <c r="M2723" s="48"/>
      <c r="N2723" s="48"/>
      <c r="O2723" s="276"/>
    </row>
    <row r="2724" spans="1:23" s="35" customFormat="1" ht="15" customHeight="1">
      <c r="A2724" s="2"/>
      <c r="B2724" s="2"/>
      <c r="C2724" s="3"/>
      <c r="D2724" s="47"/>
      <c r="E2724" s="47"/>
      <c r="F2724" s="191"/>
      <c r="G2724" s="48"/>
      <c r="H2724" s="48"/>
      <c r="I2724" s="48"/>
      <c r="J2724" s="48"/>
      <c r="K2724" s="48"/>
      <c r="L2724" s="48"/>
      <c r="M2724" s="48"/>
      <c r="N2724" s="48"/>
      <c r="O2724" s="276"/>
    </row>
    <row r="2725" spans="1:23" s="35" customFormat="1" ht="15" customHeight="1">
      <c r="A2725" s="2"/>
      <c r="B2725" s="2"/>
      <c r="C2725" s="3"/>
      <c r="D2725" s="47"/>
      <c r="E2725" s="47"/>
      <c r="F2725" s="191"/>
      <c r="G2725" s="48"/>
      <c r="H2725" s="48"/>
      <c r="I2725" s="48"/>
      <c r="J2725" s="48"/>
      <c r="K2725" s="48"/>
      <c r="L2725" s="48"/>
      <c r="M2725" s="48"/>
      <c r="N2725" s="48"/>
      <c r="O2725" s="276"/>
    </row>
    <row r="2726" spans="1:23" s="35" customFormat="1" ht="15" customHeight="1">
      <c r="A2726" s="2"/>
      <c r="B2726" s="2"/>
      <c r="C2726" s="3">
        <v>50</v>
      </c>
      <c r="D2726" s="47" t="s">
        <v>2386</v>
      </c>
      <c r="E2726" s="47"/>
      <c r="F2726" s="191"/>
      <c r="G2726" s="48"/>
      <c r="H2726" s="48"/>
      <c r="I2726" s="48"/>
      <c r="J2726" s="48"/>
      <c r="K2726" s="48"/>
      <c r="L2726" s="48"/>
      <c r="M2726" s="48"/>
      <c r="N2726" s="48"/>
      <c r="O2726" s="276"/>
    </row>
    <row r="2727" spans="1:23" s="35" customFormat="1" ht="15" customHeight="1">
      <c r="A2727" s="2"/>
      <c r="B2727" s="2"/>
      <c r="C2727" s="3">
        <v>50</v>
      </c>
      <c r="D2727" s="47"/>
      <c r="E2727" s="47"/>
      <c r="F2727" s="191"/>
      <c r="G2727" s="48"/>
      <c r="H2727" s="48"/>
      <c r="I2727" s="48"/>
      <c r="J2727" s="48"/>
      <c r="K2727" s="48"/>
      <c r="L2727" s="48"/>
      <c r="M2727" s="48"/>
      <c r="N2727" s="48"/>
      <c r="O2727" s="276"/>
    </row>
    <row r="2728" spans="1:23" ht="15" customHeight="1">
      <c r="C2728" s="3">
        <v>50</v>
      </c>
      <c r="D2728" s="54" t="s">
        <v>2874</v>
      </c>
      <c r="E2728" s="54"/>
      <c r="F2728" s="192"/>
      <c r="G2728" s="55"/>
      <c r="H2728" s="55"/>
      <c r="I2728" s="55"/>
      <c r="J2728" s="55"/>
      <c r="K2728" s="55">
        <v>259237.28</v>
      </c>
      <c r="L2728" s="55"/>
      <c r="M2728" s="55"/>
      <c r="N2728" s="55">
        <f>+M2744</f>
        <v>3000</v>
      </c>
      <c r="O2728" s="278"/>
      <c r="P2728" s="203"/>
      <c r="Q2728" s="204"/>
      <c r="R2728" s="205"/>
      <c r="S2728" s="206"/>
      <c r="T2728" s="207"/>
      <c r="U2728" s="207"/>
      <c r="V2728" s="208"/>
      <c r="W2728" s="212"/>
    </row>
    <row r="2729" spans="1:23" s="35" customFormat="1" ht="15" customHeight="1">
      <c r="A2729" s="2"/>
      <c r="B2729" s="2"/>
      <c r="C2729" s="3">
        <v>50</v>
      </c>
      <c r="D2729" s="47"/>
      <c r="E2729" s="47"/>
      <c r="F2729" s="191"/>
      <c r="G2729" s="48"/>
      <c r="H2729" s="48"/>
      <c r="I2729" s="48"/>
      <c r="J2729" s="48"/>
      <c r="K2729" s="48"/>
      <c r="L2729" s="48"/>
      <c r="M2729" s="48"/>
      <c r="N2729" s="48"/>
      <c r="O2729" s="276"/>
    </row>
    <row r="2730" spans="1:23" ht="15" customHeight="1">
      <c r="C2730" s="3">
        <v>50</v>
      </c>
      <c r="D2730" s="47" t="s">
        <v>2224</v>
      </c>
      <c r="G2730" s="26"/>
      <c r="H2730" s="26"/>
      <c r="I2730" s="26"/>
      <c r="J2730" s="26"/>
      <c r="K2730" s="26"/>
      <c r="L2730" s="26"/>
      <c r="M2730" s="26"/>
      <c r="N2730" s="26"/>
      <c r="P2730" s="214">
        <v>2371</v>
      </c>
      <c r="Q2730" s="215">
        <v>50</v>
      </c>
      <c r="R2730" s="216" t="s">
        <v>2610</v>
      </c>
      <c r="S2730" s="217"/>
      <c r="T2730" s="218"/>
      <c r="U2730" s="218"/>
      <c r="V2730" s="218"/>
      <c r="W2730" s="219"/>
    </row>
    <row r="2731" spans="1:23" ht="15" customHeight="1">
      <c r="C2731" s="3">
        <v>50</v>
      </c>
      <c r="G2731" s="26"/>
      <c r="H2731" s="26"/>
      <c r="I2731" s="26"/>
      <c r="J2731" s="26"/>
      <c r="K2731" s="26"/>
      <c r="L2731" s="26"/>
      <c r="M2731" s="26"/>
      <c r="N2731" s="26"/>
      <c r="P2731" s="214">
        <v>2372</v>
      </c>
      <c r="Q2731" s="215">
        <v>50</v>
      </c>
      <c r="R2731" s="216" t="s">
        <v>2611</v>
      </c>
      <c r="S2731" s="217"/>
      <c r="T2731" s="218"/>
      <c r="U2731" s="218"/>
      <c r="V2731" s="218"/>
      <c r="W2731" s="219"/>
    </row>
    <row r="2732" spans="1:23" s="21" customFormat="1" ht="15" customHeight="1">
      <c r="A2732" s="2"/>
      <c r="B2732" s="2" t="s">
        <v>2318</v>
      </c>
      <c r="C2732" s="3">
        <v>50</v>
      </c>
      <c r="D2732" s="54" t="s">
        <v>2200</v>
      </c>
      <c r="E2732" s="54"/>
      <c r="F2732" s="192"/>
      <c r="G2732" s="55">
        <f>+G2734</f>
        <v>-93819</v>
      </c>
      <c r="H2732" s="55">
        <f t="shared" ref="H2732:N2732" si="258">+H2734</f>
        <v>1069496</v>
      </c>
      <c r="I2732" s="55">
        <f t="shared" si="258"/>
        <v>1537836</v>
      </c>
      <c r="J2732" s="55">
        <f t="shared" si="258"/>
        <v>1293688</v>
      </c>
      <c r="K2732" s="55">
        <f t="shared" si="258"/>
        <v>1384416</v>
      </c>
      <c r="L2732" s="55">
        <f t="shared" si="258"/>
        <v>918817</v>
      </c>
      <c r="M2732" s="55">
        <f t="shared" si="258"/>
        <v>1384416</v>
      </c>
      <c r="N2732" s="55">
        <f t="shared" si="258"/>
        <v>1361782</v>
      </c>
      <c r="O2732" s="279"/>
      <c r="P2732" s="214">
        <v>2373</v>
      </c>
      <c r="Q2732" s="215">
        <v>50</v>
      </c>
      <c r="R2732" s="216" t="s">
        <v>2612</v>
      </c>
      <c r="S2732" s="217"/>
      <c r="T2732" s="218">
        <v>1085416</v>
      </c>
      <c r="U2732" s="218">
        <v>106354.91</v>
      </c>
      <c r="V2732" s="218">
        <v>850754.26</v>
      </c>
      <c r="W2732" s="219">
        <v>78.38</v>
      </c>
    </row>
    <row r="2733" spans="1:23" s="57" customFormat="1" ht="15" customHeight="1">
      <c r="A2733" s="5"/>
      <c r="B2733" s="5"/>
      <c r="C2733" s="3">
        <v>50</v>
      </c>
      <c r="D2733" s="54"/>
      <c r="E2733" s="54"/>
      <c r="F2733" s="192"/>
      <c r="G2733" s="55"/>
      <c r="H2733" s="55"/>
      <c r="I2733" s="55"/>
      <c r="J2733" s="55"/>
      <c r="K2733" s="55"/>
      <c r="L2733" s="55"/>
      <c r="M2733" s="55"/>
      <c r="N2733" s="55"/>
      <c r="O2733" s="302"/>
      <c r="P2733" s="220"/>
      <c r="Q2733" s="220"/>
      <c r="R2733" s="220"/>
      <c r="S2733" s="220"/>
      <c r="T2733" s="220"/>
      <c r="U2733" s="220"/>
      <c r="V2733" s="220"/>
      <c r="W2733" s="220"/>
    </row>
    <row r="2734" spans="1:23" s="70" customFormat="1" ht="15" customHeight="1" thickBot="1">
      <c r="A2734" s="5"/>
      <c r="B2734" s="5" t="s">
        <v>2318</v>
      </c>
      <c r="C2734" s="3">
        <v>50</v>
      </c>
      <c r="D2734" s="68" t="str">
        <f>+D2759</f>
        <v>*** TOTAL FUND 50 REVENUES ***</v>
      </c>
      <c r="E2734" s="68"/>
      <c r="F2734" s="68">
        <f>+F2759</f>
        <v>0</v>
      </c>
      <c r="G2734" s="69">
        <f>+G2759</f>
        <v>-93819</v>
      </c>
      <c r="H2734" s="69">
        <f t="shared" ref="H2734:N2734" si="259">+H2759</f>
        <v>1069496</v>
      </c>
      <c r="I2734" s="69">
        <f t="shared" si="259"/>
        <v>1537836</v>
      </c>
      <c r="J2734" s="69">
        <f t="shared" si="259"/>
        <v>1293688</v>
      </c>
      <c r="K2734" s="69">
        <f t="shared" si="259"/>
        <v>1384416</v>
      </c>
      <c r="L2734" s="69">
        <f t="shared" si="259"/>
        <v>918817</v>
      </c>
      <c r="M2734" s="69">
        <f t="shared" si="259"/>
        <v>1384416</v>
      </c>
      <c r="N2734" s="69">
        <f t="shared" si="259"/>
        <v>1361782</v>
      </c>
      <c r="O2734" s="309"/>
      <c r="P2734" s="214">
        <v>2374</v>
      </c>
      <c r="Q2734" s="215">
        <v>50</v>
      </c>
      <c r="R2734" s="216" t="s">
        <v>2613</v>
      </c>
      <c r="S2734" s="217"/>
      <c r="T2734" s="218">
        <v>1085416</v>
      </c>
      <c r="U2734" s="218">
        <v>106354.91</v>
      </c>
      <c r="V2734" s="218">
        <v>850754.26</v>
      </c>
      <c r="W2734" s="219">
        <v>78.38</v>
      </c>
    </row>
    <row r="2735" spans="1:23" s="46" customFormat="1" ht="15" customHeight="1" thickTop="1">
      <c r="A2735" s="5"/>
      <c r="B2735" s="5"/>
      <c r="C2735" s="3">
        <v>50</v>
      </c>
      <c r="D2735" s="47"/>
      <c r="E2735" s="47"/>
      <c r="F2735" s="47"/>
      <c r="G2735" s="56"/>
      <c r="H2735" s="56"/>
      <c r="I2735" s="56"/>
      <c r="J2735" s="56"/>
      <c r="K2735" s="56"/>
      <c r="L2735" s="56"/>
      <c r="M2735" s="56"/>
      <c r="N2735" s="56"/>
      <c r="O2735" s="289"/>
      <c r="P2735" s="221"/>
      <c r="Q2735" s="221"/>
      <c r="R2735" s="221"/>
      <c r="S2735" s="221"/>
      <c r="T2735" s="221"/>
      <c r="U2735" s="221"/>
      <c r="V2735" s="221"/>
      <c r="W2735" s="221"/>
    </row>
    <row r="2736" spans="1:23" ht="15" customHeight="1">
      <c r="C2736" s="3">
        <v>50</v>
      </c>
      <c r="D2736" s="47" t="s">
        <v>1977</v>
      </c>
      <c r="G2736" s="26"/>
      <c r="H2736" s="26"/>
      <c r="I2736" s="26"/>
      <c r="J2736" s="26"/>
      <c r="K2736" s="26"/>
      <c r="L2736" s="26"/>
      <c r="M2736" s="26"/>
      <c r="N2736" s="26"/>
      <c r="P2736" s="214">
        <v>2375</v>
      </c>
      <c r="Q2736" s="215">
        <v>50</v>
      </c>
      <c r="R2736" s="216" t="s">
        <v>2614</v>
      </c>
      <c r="S2736" s="217"/>
      <c r="T2736" s="218"/>
      <c r="U2736" s="218"/>
      <c r="V2736" s="218"/>
      <c r="W2736" s="219"/>
    </row>
    <row r="2737" spans="1:23" ht="15" customHeight="1">
      <c r="C2737" s="3">
        <v>50</v>
      </c>
      <c r="G2737" s="26"/>
      <c r="H2737" s="26"/>
      <c r="I2737" s="26"/>
      <c r="J2737" s="26"/>
      <c r="K2737" s="26"/>
      <c r="L2737" s="26"/>
      <c r="M2737" s="26"/>
      <c r="N2737" s="26"/>
      <c r="P2737" s="214">
        <v>2376</v>
      </c>
      <c r="Q2737" s="215">
        <v>50</v>
      </c>
      <c r="R2737" s="216" t="s">
        <v>2615</v>
      </c>
      <c r="S2737" s="217"/>
      <c r="T2737" s="218"/>
      <c r="U2737" s="218"/>
      <c r="V2737" s="218"/>
      <c r="W2737" s="219"/>
    </row>
    <row r="2738" spans="1:23" ht="15" customHeight="1">
      <c r="B2738" s="2" t="s">
        <v>2318</v>
      </c>
      <c r="C2738" s="3">
        <v>50</v>
      </c>
      <c r="D2738" s="47" t="s">
        <v>1667</v>
      </c>
      <c r="G2738" s="26">
        <f>+G2785</f>
        <v>-93622</v>
      </c>
      <c r="H2738" s="26">
        <f t="shared" ref="H2738:N2738" si="260">+H2785</f>
        <v>1100365</v>
      </c>
      <c r="I2738" s="26">
        <f t="shared" si="260"/>
        <v>1304189</v>
      </c>
      <c r="J2738" s="26">
        <f t="shared" si="260"/>
        <v>1571943</v>
      </c>
      <c r="K2738" s="26">
        <f t="shared" si="260"/>
        <v>1381416</v>
      </c>
      <c r="L2738" s="26">
        <f t="shared" si="260"/>
        <v>912996</v>
      </c>
      <c r="M2738" s="26">
        <f t="shared" si="260"/>
        <v>1381416</v>
      </c>
      <c r="N2738" s="26">
        <f t="shared" si="260"/>
        <v>1361782</v>
      </c>
      <c r="P2738" s="214">
        <v>2377</v>
      </c>
      <c r="Q2738" s="215">
        <v>50</v>
      </c>
      <c r="R2738" s="216" t="s">
        <v>1667</v>
      </c>
      <c r="S2738" s="217"/>
      <c r="T2738" s="218">
        <v>1082416</v>
      </c>
      <c r="U2738" s="218">
        <v>0</v>
      </c>
      <c r="V2738" s="218">
        <v>649870.63</v>
      </c>
      <c r="W2738" s="219">
        <v>60.04</v>
      </c>
    </row>
    <row r="2739" spans="1:23" ht="15" customHeight="1">
      <c r="C2739" s="3">
        <v>50</v>
      </c>
      <c r="D2739" s="47"/>
      <c r="G2739" s="26"/>
      <c r="H2739" s="26"/>
      <c r="I2739" s="26"/>
      <c r="J2739" s="26"/>
      <c r="K2739" s="26"/>
      <c r="L2739" s="26"/>
      <c r="M2739" s="26"/>
      <c r="N2739" s="26"/>
      <c r="P2739" s="222"/>
      <c r="Q2739" s="222"/>
      <c r="R2739" s="222"/>
      <c r="S2739" s="223"/>
      <c r="T2739" s="223"/>
      <c r="U2739" s="223"/>
      <c r="V2739" s="224"/>
      <c r="W2739" s="224"/>
    </row>
    <row r="2740" spans="1:23" s="37" customFormat="1" ht="15" customHeight="1">
      <c r="A2740" s="2"/>
      <c r="B2740" s="2" t="s">
        <v>2318</v>
      </c>
      <c r="C2740" s="3">
        <v>50</v>
      </c>
      <c r="D2740" s="54" t="str">
        <f>+D2787</f>
        <v>*** TOTAL FUND 50 EXPENSES ***</v>
      </c>
      <c r="E2740" s="54"/>
      <c r="F2740" s="54">
        <f t="shared" ref="F2740:N2740" si="261">+F2787</f>
        <v>0</v>
      </c>
      <c r="G2740" s="339">
        <f t="shared" si="261"/>
        <v>-93622</v>
      </c>
      <c r="H2740" s="339">
        <f t="shared" si="261"/>
        <v>1100365</v>
      </c>
      <c r="I2740" s="339">
        <f t="shared" si="261"/>
        <v>1304189</v>
      </c>
      <c r="J2740" s="339">
        <f t="shared" si="261"/>
        <v>1571943</v>
      </c>
      <c r="K2740" s="339">
        <f t="shared" si="261"/>
        <v>1381416</v>
      </c>
      <c r="L2740" s="339">
        <f t="shared" si="261"/>
        <v>912996</v>
      </c>
      <c r="M2740" s="339">
        <f t="shared" si="261"/>
        <v>1381416</v>
      </c>
      <c r="N2740" s="339">
        <f t="shared" si="261"/>
        <v>1361782</v>
      </c>
      <c r="O2740" s="303"/>
      <c r="P2740" s="214">
        <v>2378</v>
      </c>
      <c r="Q2740" s="215">
        <v>50</v>
      </c>
      <c r="R2740" s="216" t="s">
        <v>2618</v>
      </c>
      <c r="S2740" s="217"/>
      <c r="T2740" s="218">
        <v>1082416</v>
      </c>
      <c r="U2740" s="218">
        <v>0</v>
      </c>
      <c r="V2740" s="218">
        <v>649870.63</v>
      </c>
      <c r="W2740" s="219">
        <v>60.04</v>
      </c>
    </row>
    <row r="2741" spans="1:23" s="46" customFormat="1" ht="15" customHeight="1">
      <c r="A2741" s="5"/>
      <c r="B2741" s="5"/>
      <c r="C2741" s="3">
        <v>50</v>
      </c>
      <c r="D2741" s="47"/>
      <c r="E2741" s="47"/>
      <c r="F2741" s="47"/>
      <c r="G2741" s="56"/>
      <c r="H2741" s="56"/>
      <c r="I2741" s="56"/>
      <c r="J2741" s="56"/>
      <c r="K2741" s="56"/>
      <c r="L2741" s="56"/>
      <c r="M2741" s="56"/>
      <c r="N2741" s="56"/>
      <c r="O2741" s="289"/>
      <c r="P2741" s="221"/>
      <c r="Q2741" s="221"/>
      <c r="R2741" s="221"/>
      <c r="S2741" s="221"/>
      <c r="T2741" s="221"/>
      <c r="U2741" s="221"/>
      <c r="V2741" s="221"/>
      <c r="W2741" s="221"/>
    </row>
    <row r="2742" spans="1:23" s="33" customFormat="1" ht="15" customHeight="1" thickBot="1">
      <c r="A2742" s="2"/>
      <c r="B2742" s="2" t="s">
        <v>2318</v>
      </c>
      <c r="C2742" s="3">
        <v>50</v>
      </c>
      <c r="D2742" s="335" t="str">
        <f>+D2789</f>
        <v>*** FUND 50 REVENUES OVER(UNDER) EXPENSES ***</v>
      </c>
      <c r="E2742" s="336"/>
      <c r="F2742" s="336">
        <f>+F2789</f>
        <v>0</v>
      </c>
      <c r="G2742" s="336">
        <f>+G2789</f>
        <v>-197</v>
      </c>
      <c r="H2742" s="336">
        <f t="shared" ref="H2742:N2742" si="262">+H2789</f>
        <v>-30869</v>
      </c>
      <c r="I2742" s="336">
        <f t="shared" si="262"/>
        <v>233647</v>
      </c>
      <c r="J2742" s="336">
        <f t="shared" si="262"/>
        <v>-278255</v>
      </c>
      <c r="K2742" s="336">
        <f t="shared" si="262"/>
        <v>3000</v>
      </c>
      <c r="L2742" s="336">
        <f t="shared" si="262"/>
        <v>5821</v>
      </c>
      <c r="M2742" s="336">
        <f t="shared" si="262"/>
        <v>3000</v>
      </c>
      <c r="N2742" s="336">
        <f t="shared" si="262"/>
        <v>0</v>
      </c>
      <c r="O2742" s="301"/>
      <c r="P2742" s="214">
        <v>2379</v>
      </c>
      <c r="Q2742" s="215">
        <v>50</v>
      </c>
      <c r="R2742" s="216" t="s">
        <v>2619</v>
      </c>
      <c r="S2742" s="217"/>
      <c r="T2742" s="218">
        <v>3000</v>
      </c>
      <c r="U2742" s="218">
        <v>106354.91</v>
      </c>
      <c r="V2742" s="218">
        <v>200883.63</v>
      </c>
      <c r="W2742" s="219">
        <v>696.12</v>
      </c>
    </row>
    <row r="2743" spans="1:23" s="46" customFormat="1" ht="15" customHeight="1" thickTop="1">
      <c r="A2743" s="5"/>
      <c r="B2743" s="5"/>
      <c r="C2743" s="3">
        <v>50</v>
      </c>
      <c r="D2743" s="58"/>
      <c r="E2743" s="56"/>
      <c r="F2743" s="56"/>
      <c r="G2743" s="56"/>
      <c r="H2743" s="56"/>
      <c r="I2743" s="56"/>
      <c r="J2743" s="56"/>
      <c r="K2743" s="56"/>
      <c r="L2743" s="56"/>
      <c r="M2743" s="56"/>
      <c r="N2743" s="56"/>
      <c r="O2743" s="289"/>
      <c r="P2743" s="221"/>
      <c r="Q2743" s="221"/>
      <c r="R2743" s="221"/>
      <c r="S2743" s="221"/>
      <c r="T2743" s="221"/>
      <c r="U2743" s="221"/>
      <c r="V2743" s="221"/>
      <c r="W2743" s="221"/>
    </row>
    <row r="2744" spans="1:23" ht="15" customHeight="1">
      <c r="C2744" s="3">
        <v>50</v>
      </c>
      <c r="D2744" s="54" t="s">
        <v>2875</v>
      </c>
      <c r="E2744" s="54"/>
      <c r="F2744" s="192"/>
      <c r="G2744" s="55"/>
      <c r="H2744" s="55"/>
      <c r="I2744" s="55"/>
      <c r="J2744" s="55"/>
      <c r="K2744" s="55">
        <f>+K2728+K2734-K2740</f>
        <v>262237.28000000003</v>
      </c>
      <c r="L2744" s="55"/>
      <c r="M2744" s="55">
        <f>+M2728+M2734-M2740</f>
        <v>3000</v>
      </c>
      <c r="N2744" s="55">
        <f>+N2728+N2734-N2740</f>
        <v>3000</v>
      </c>
      <c r="O2744" s="253"/>
      <c r="P2744" s="203"/>
      <c r="Q2744" s="204"/>
      <c r="R2744" s="205"/>
      <c r="S2744" s="206"/>
      <c r="T2744" s="207"/>
      <c r="U2744" s="207"/>
      <c r="V2744" s="208"/>
      <c r="W2744" s="212"/>
    </row>
    <row r="2745" spans="1:23" s="46" customFormat="1" ht="15" customHeight="1">
      <c r="A2745" s="195"/>
      <c r="B2745" s="195"/>
      <c r="C2745" s="3">
        <v>50</v>
      </c>
      <c r="D2745" s="58"/>
      <c r="E2745" s="56"/>
      <c r="F2745" s="56"/>
      <c r="G2745" s="56"/>
      <c r="H2745" s="56"/>
      <c r="I2745" s="56"/>
      <c r="J2745" s="56"/>
      <c r="K2745" s="56"/>
      <c r="L2745" s="56"/>
      <c r="M2745" s="26"/>
      <c r="N2745" s="26"/>
      <c r="O2745" s="289"/>
      <c r="P2745" s="221"/>
      <c r="Q2745" s="221"/>
      <c r="R2745" s="221"/>
      <c r="S2745" s="221"/>
      <c r="T2745" s="221"/>
      <c r="U2745" s="221"/>
      <c r="V2745" s="221"/>
      <c r="W2745" s="221"/>
    </row>
    <row r="2746" spans="1:23" ht="15" customHeight="1">
      <c r="C2746" s="3">
        <v>50</v>
      </c>
      <c r="D2746" s="316" t="s">
        <v>2504</v>
      </c>
      <c r="E2746" s="312" t="s">
        <v>1854</v>
      </c>
      <c r="G2746" s="26">
        <v>4362</v>
      </c>
      <c r="H2746" s="26">
        <v>392625</v>
      </c>
      <c r="I2746" s="26">
        <v>392625</v>
      </c>
      <c r="J2746" s="26">
        <v>251624</v>
      </c>
      <c r="K2746" s="26">
        <v>0</v>
      </c>
      <c r="L2746" s="26">
        <v>110517</v>
      </c>
      <c r="M2746" s="26">
        <v>0</v>
      </c>
      <c r="N2746" s="26">
        <v>0</v>
      </c>
      <c r="O2746" s="285"/>
      <c r="P2746" s="214">
        <v>2380</v>
      </c>
      <c r="Q2746" s="215">
        <v>50</v>
      </c>
      <c r="R2746" s="216">
        <v>4130</v>
      </c>
      <c r="S2746" s="217" t="s">
        <v>1854</v>
      </c>
      <c r="T2746" s="218">
        <v>0</v>
      </c>
      <c r="U2746" s="218">
        <v>15788.08</v>
      </c>
      <c r="V2746" s="218">
        <v>126304.64</v>
      </c>
      <c r="W2746" s="219">
        <v>0</v>
      </c>
    </row>
    <row r="2747" spans="1:23" ht="15" customHeight="1">
      <c r="C2747" s="3">
        <v>50</v>
      </c>
      <c r="D2747" s="316" t="s">
        <v>2505</v>
      </c>
      <c r="E2747" s="312" t="s">
        <v>2513</v>
      </c>
      <c r="G2747" s="26">
        <v>-23</v>
      </c>
      <c r="H2747" s="26">
        <v>183079</v>
      </c>
      <c r="I2747" s="26">
        <v>183079</v>
      </c>
      <c r="J2747" s="26">
        <v>187583</v>
      </c>
      <c r="K2747" s="26">
        <v>0</v>
      </c>
      <c r="L2747" s="26">
        <v>0</v>
      </c>
      <c r="M2747" s="26">
        <v>0</v>
      </c>
      <c r="N2747" s="26">
        <v>0</v>
      </c>
      <c r="O2747" s="285"/>
      <c r="P2747" s="214">
        <v>2381</v>
      </c>
      <c r="Q2747" s="215">
        <v>50</v>
      </c>
      <c r="R2747" s="216">
        <v>4130.0020000000004</v>
      </c>
      <c r="S2747" s="217" t="s">
        <v>2513</v>
      </c>
      <c r="T2747" s="218">
        <v>0</v>
      </c>
      <c r="U2747" s="218">
        <v>41144.83</v>
      </c>
      <c r="V2747" s="218">
        <v>41144.83</v>
      </c>
      <c r="W2747" s="219">
        <v>0</v>
      </c>
    </row>
    <row r="2748" spans="1:23" ht="15" customHeight="1">
      <c r="C2748" s="3">
        <v>50</v>
      </c>
      <c r="D2748" s="316" t="s">
        <v>2506</v>
      </c>
      <c r="E2748" s="312" t="s">
        <v>2514</v>
      </c>
      <c r="G2748" s="26">
        <v>0</v>
      </c>
      <c r="H2748" s="26">
        <v>0</v>
      </c>
      <c r="I2748" s="26">
        <v>0</v>
      </c>
      <c r="J2748" s="26">
        <v>0</v>
      </c>
      <c r="K2748" s="26">
        <v>493738</v>
      </c>
      <c r="L2748" s="26">
        <v>288014</v>
      </c>
      <c r="M2748" s="26">
        <v>493738</v>
      </c>
      <c r="N2748" s="26">
        <v>487538</v>
      </c>
      <c r="O2748" s="285"/>
      <c r="P2748" s="214">
        <v>2382</v>
      </c>
      <c r="Q2748" s="215">
        <v>50</v>
      </c>
      <c r="R2748" s="216">
        <v>4130.0039999999999</v>
      </c>
      <c r="S2748" s="217" t="s">
        <v>2514</v>
      </c>
      <c r="T2748" s="218">
        <v>493738</v>
      </c>
      <c r="U2748" s="218">
        <v>0</v>
      </c>
      <c r="V2748" s="218">
        <v>288013.81</v>
      </c>
      <c r="W2748" s="219">
        <v>58.33</v>
      </c>
    </row>
    <row r="2749" spans="1:23" ht="15" customHeight="1">
      <c r="C2749" s="3">
        <v>50</v>
      </c>
      <c r="D2749" s="316" t="s">
        <v>2507</v>
      </c>
      <c r="E2749" s="312" t="s">
        <v>2515</v>
      </c>
      <c r="G2749" s="26">
        <v>-105303</v>
      </c>
      <c r="H2749" s="26">
        <v>0</v>
      </c>
      <c r="I2749" s="26">
        <v>0</v>
      </c>
      <c r="J2749" s="26">
        <v>101346</v>
      </c>
      <c r="K2749" s="26">
        <v>103478</v>
      </c>
      <c r="L2749" s="26">
        <v>60362</v>
      </c>
      <c r="M2749" s="26">
        <v>103478</v>
      </c>
      <c r="N2749" s="26">
        <v>100440</v>
      </c>
      <c r="O2749" s="285"/>
      <c r="P2749" s="214">
        <v>2383</v>
      </c>
      <c r="Q2749" s="215">
        <v>50</v>
      </c>
      <c r="R2749" s="216">
        <v>4130.0050000000001</v>
      </c>
      <c r="S2749" s="217" t="s">
        <v>2515</v>
      </c>
      <c r="T2749" s="218">
        <v>103478</v>
      </c>
      <c r="U2749" s="218">
        <v>8623.17</v>
      </c>
      <c r="V2749" s="218">
        <v>68985.36</v>
      </c>
      <c r="W2749" s="219">
        <v>66.67</v>
      </c>
    </row>
    <row r="2750" spans="1:23" ht="15" customHeight="1">
      <c r="C2750" s="3">
        <v>50</v>
      </c>
      <c r="D2750" s="316" t="s">
        <v>2508</v>
      </c>
      <c r="E2750" s="312" t="s">
        <v>2516</v>
      </c>
      <c r="G2750" s="26">
        <v>0</v>
      </c>
      <c r="H2750" s="26">
        <v>0</v>
      </c>
      <c r="I2750" s="26">
        <v>123486</v>
      </c>
      <c r="J2750" s="26">
        <v>0</v>
      </c>
      <c r="K2750" s="26">
        <v>186200</v>
      </c>
      <c r="L2750" s="26">
        <v>108617</v>
      </c>
      <c r="M2750" s="26">
        <v>186200</v>
      </c>
      <c r="N2750" s="26">
        <v>190375</v>
      </c>
      <c r="O2750" s="285"/>
      <c r="P2750" s="214">
        <v>2384</v>
      </c>
      <c r="Q2750" s="215">
        <v>50</v>
      </c>
      <c r="R2750" s="216">
        <v>4130.009</v>
      </c>
      <c r="S2750" s="217" t="s">
        <v>2516</v>
      </c>
      <c r="T2750" s="218">
        <v>186200</v>
      </c>
      <c r="U2750" s="218">
        <v>0</v>
      </c>
      <c r="V2750" s="218">
        <v>108616.69</v>
      </c>
      <c r="W2750" s="219">
        <v>58.33</v>
      </c>
    </row>
    <row r="2751" spans="1:23" ht="15" customHeight="1">
      <c r="C2751" s="3">
        <v>50</v>
      </c>
      <c r="D2751" s="316" t="s">
        <v>2509</v>
      </c>
      <c r="E2751" s="312" t="s">
        <v>2517</v>
      </c>
      <c r="G2751" s="26">
        <v>0</v>
      </c>
      <c r="H2751" s="26">
        <v>0</v>
      </c>
      <c r="I2751" s="26">
        <v>0</v>
      </c>
      <c r="J2751" s="26">
        <v>0</v>
      </c>
      <c r="K2751" s="26">
        <v>299000</v>
      </c>
      <c r="L2751" s="26">
        <v>174417</v>
      </c>
      <c r="M2751" s="26">
        <v>299000</v>
      </c>
      <c r="N2751" s="26">
        <v>393500</v>
      </c>
      <c r="O2751" s="285"/>
      <c r="P2751" s="214">
        <v>2385</v>
      </c>
      <c r="Q2751" s="215">
        <v>50</v>
      </c>
      <c r="R2751" s="216">
        <v>4130.01</v>
      </c>
      <c r="S2751" s="217" t="s">
        <v>2517</v>
      </c>
      <c r="T2751" s="218">
        <v>299000</v>
      </c>
      <c r="U2751" s="218">
        <v>0</v>
      </c>
      <c r="V2751" s="218">
        <v>174416.69</v>
      </c>
      <c r="W2751" s="219">
        <v>58.33</v>
      </c>
    </row>
    <row r="2752" spans="1:23" ht="15" customHeight="1">
      <c r="C2752" s="3">
        <v>50</v>
      </c>
      <c r="D2752" s="316" t="s">
        <v>3044</v>
      </c>
      <c r="E2752" s="312" t="s">
        <v>3049</v>
      </c>
      <c r="G2752" s="26">
        <v>0</v>
      </c>
      <c r="H2752" s="26">
        <v>0</v>
      </c>
      <c r="I2752" s="26">
        <v>0</v>
      </c>
      <c r="J2752" s="26">
        <v>0</v>
      </c>
      <c r="K2752" s="26">
        <v>299000</v>
      </c>
      <c r="L2752" s="26">
        <v>174417</v>
      </c>
      <c r="M2752" s="26">
        <v>299000</v>
      </c>
      <c r="N2752" s="26">
        <v>186929</v>
      </c>
      <c r="O2752" s="285" t="s">
        <v>3050</v>
      </c>
      <c r="P2752" s="214">
        <v>2385</v>
      </c>
      <c r="Q2752" s="215">
        <v>50</v>
      </c>
      <c r="R2752" s="216">
        <v>4130.01</v>
      </c>
      <c r="S2752" s="217" t="s">
        <v>2517</v>
      </c>
      <c r="T2752" s="218">
        <v>299000</v>
      </c>
      <c r="U2752" s="218">
        <v>0</v>
      </c>
      <c r="V2752" s="218">
        <v>174416.69</v>
      </c>
      <c r="W2752" s="219">
        <v>58.33</v>
      </c>
    </row>
    <row r="2753" spans="1:23" ht="15" customHeight="1">
      <c r="C2753" s="3">
        <v>50</v>
      </c>
      <c r="D2753" s="316" t="s">
        <v>2510</v>
      </c>
      <c r="E2753" s="312" t="s">
        <v>1323</v>
      </c>
      <c r="G2753" s="26">
        <v>-5037</v>
      </c>
      <c r="H2753" s="26">
        <v>490063</v>
      </c>
      <c r="I2753" s="26">
        <v>490063</v>
      </c>
      <c r="J2753" s="26">
        <v>494338</v>
      </c>
      <c r="K2753" s="26">
        <v>0</v>
      </c>
      <c r="L2753" s="26">
        <v>0</v>
      </c>
      <c r="M2753" s="26">
        <v>0</v>
      </c>
      <c r="N2753" s="26">
        <v>0</v>
      </c>
      <c r="O2753" s="285"/>
      <c r="P2753" s="214">
        <v>2386</v>
      </c>
      <c r="Q2753" s="215">
        <v>50</v>
      </c>
      <c r="R2753" s="216">
        <v>4130.9399999999996</v>
      </c>
      <c r="S2753" s="217" t="s">
        <v>1323</v>
      </c>
      <c r="T2753" s="218">
        <v>0</v>
      </c>
      <c r="U2753" s="218">
        <v>15516.67</v>
      </c>
      <c r="V2753" s="218">
        <v>15516.67</v>
      </c>
      <c r="W2753" s="219">
        <v>0</v>
      </c>
    </row>
    <row r="2754" spans="1:23" ht="15" customHeight="1">
      <c r="C2754" s="3">
        <v>50</v>
      </c>
      <c r="D2754" s="316" t="s">
        <v>1855</v>
      </c>
      <c r="E2754" s="312" t="s">
        <v>1856</v>
      </c>
      <c r="G2754" s="26">
        <v>0</v>
      </c>
      <c r="H2754" s="26">
        <v>0</v>
      </c>
      <c r="I2754" s="26">
        <v>200000</v>
      </c>
      <c r="J2754" s="26">
        <v>50000</v>
      </c>
      <c r="K2754" s="26">
        <v>0</v>
      </c>
      <c r="L2754" s="26">
        <v>0</v>
      </c>
      <c r="M2754" s="26">
        <v>0</v>
      </c>
      <c r="N2754" s="26">
        <v>0</v>
      </c>
      <c r="O2754" s="285"/>
      <c r="P2754" s="214">
        <v>2387</v>
      </c>
      <c r="Q2754" s="215">
        <v>50</v>
      </c>
      <c r="R2754" s="216" t="s">
        <v>1855</v>
      </c>
      <c r="S2754" s="217" t="s">
        <v>1856</v>
      </c>
      <c r="T2754" s="218">
        <v>0</v>
      </c>
      <c r="U2754" s="218">
        <v>0</v>
      </c>
      <c r="V2754" s="218">
        <v>0</v>
      </c>
      <c r="W2754" s="219">
        <v>0</v>
      </c>
    </row>
    <row r="2755" spans="1:23" ht="15" customHeight="1">
      <c r="C2755" s="3">
        <v>50</v>
      </c>
      <c r="D2755" s="316" t="s">
        <v>2511</v>
      </c>
      <c r="E2755" s="312" t="s">
        <v>1857</v>
      </c>
      <c r="G2755" s="26">
        <v>0</v>
      </c>
      <c r="H2755" s="26">
        <v>0</v>
      </c>
      <c r="I2755" s="26">
        <v>129101</v>
      </c>
      <c r="J2755" s="26">
        <v>186950</v>
      </c>
      <c r="K2755" s="26">
        <v>0</v>
      </c>
      <c r="L2755" s="26">
        <v>0</v>
      </c>
      <c r="M2755" s="26">
        <v>0</v>
      </c>
      <c r="N2755" s="26">
        <v>0</v>
      </c>
      <c r="O2755" s="285"/>
      <c r="P2755" s="214">
        <v>2388</v>
      </c>
      <c r="Q2755" s="215">
        <v>50</v>
      </c>
      <c r="R2755" s="216">
        <v>4130.96</v>
      </c>
      <c r="S2755" s="217" t="s">
        <v>1857</v>
      </c>
      <c r="T2755" s="218">
        <v>0</v>
      </c>
      <c r="U2755" s="218">
        <v>24916.67</v>
      </c>
      <c r="V2755" s="218">
        <v>24916.67</v>
      </c>
      <c r="W2755" s="219">
        <v>0</v>
      </c>
    </row>
    <row r="2756" spans="1:23" ht="15" customHeight="1">
      <c r="C2756" s="3">
        <v>50</v>
      </c>
      <c r="D2756" s="316" t="s">
        <v>1858</v>
      </c>
      <c r="E2756" s="312" t="s">
        <v>1859</v>
      </c>
      <c r="G2756" s="26">
        <v>0</v>
      </c>
      <c r="H2756" s="26">
        <v>0</v>
      </c>
      <c r="I2756" s="26">
        <v>12925</v>
      </c>
      <c r="J2756" s="26">
        <v>17598</v>
      </c>
      <c r="K2756" s="26">
        <v>0</v>
      </c>
      <c r="L2756" s="26">
        <v>0</v>
      </c>
      <c r="M2756" s="26">
        <v>0</v>
      </c>
      <c r="N2756" s="26">
        <v>0</v>
      </c>
      <c r="O2756" s="285"/>
      <c r="P2756" s="214">
        <v>2389</v>
      </c>
      <c r="Q2756" s="215">
        <v>50</v>
      </c>
      <c r="R2756" s="216" t="s">
        <v>1858</v>
      </c>
      <c r="S2756" s="217" t="s">
        <v>1859</v>
      </c>
      <c r="T2756" s="218">
        <v>0</v>
      </c>
      <c r="U2756" s="218">
        <v>0</v>
      </c>
      <c r="V2756" s="218">
        <v>0</v>
      </c>
      <c r="W2756" s="219">
        <v>0</v>
      </c>
    </row>
    <row r="2757" spans="1:23" ht="15" customHeight="1">
      <c r="C2757" s="3">
        <v>50</v>
      </c>
      <c r="D2757" s="316" t="s">
        <v>2512</v>
      </c>
      <c r="E2757" s="312" t="s">
        <v>1669</v>
      </c>
      <c r="G2757" s="26">
        <v>12182</v>
      </c>
      <c r="H2757" s="26">
        <v>3729</v>
      </c>
      <c r="I2757" s="26">
        <v>6557</v>
      </c>
      <c r="J2757" s="26">
        <v>4249</v>
      </c>
      <c r="K2757" s="26">
        <v>3000</v>
      </c>
      <c r="L2757" s="26">
        <v>2473</v>
      </c>
      <c r="M2757" s="26">
        <v>3000</v>
      </c>
      <c r="N2757" s="26">
        <v>3000</v>
      </c>
      <c r="O2757" s="285"/>
      <c r="P2757" s="214">
        <v>2390</v>
      </c>
      <c r="Q2757" s="215">
        <v>50</v>
      </c>
      <c r="R2757" s="216">
        <v>4330</v>
      </c>
      <c r="S2757" s="217" t="s">
        <v>1669</v>
      </c>
      <c r="T2757" s="218">
        <v>3000</v>
      </c>
      <c r="U2757" s="218">
        <v>365.49</v>
      </c>
      <c r="V2757" s="218">
        <v>2838.9</v>
      </c>
      <c r="W2757" s="219">
        <v>94.63</v>
      </c>
    </row>
    <row r="2758" spans="1:23" ht="15" customHeight="1">
      <c r="C2758" s="3">
        <v>50</v>
      </c>
      <c r="E2758" s="14"/>
      <c r="G2758" s="26"/>
      <c r="H2758" s="26"/>
      <c r="I2758" s="26"/>
      <c r="J2758" s="26"/>
      <c r="K2758" s="26"/>
      <c r="L2758" s="26"/>
      <c r="M2758" s="26"/>
      <c r="N2758" s="26"/>
      <c r="O2758" s="293"/>
      <c r="P2758" s="222"/>
      <c r="Q2758" s="222"/>
      <c r="R2758" s="222"/>
      <c r="S2758" s="223"/>
      <c r="T2758" s="223"/>
      <c r="U2758" s="223"/>
      <c r="V2758" s="224"/>
      <c r="W2758" s="224"/>
    </row>
    <row r="2759" spans="1:23" s="27" customFormat="1" ht="15" customHeight="1" thickBot="1">
      <c r="A2759" s="2"/>
      <c r="B2759" s="2" t="s">
        <v>2317</v>
      </c>
      <c r="C2759" s="3">
        <v>50</v>
      </c>
      <c r="D2759" s="68" t="s">
        <v>2298</v>
      </c>
      <c r="E2759" s="68"/>
      <c r="F2759" s="320"/>
      <c r="G2759" s="69">
        <f>SUM(G2745:G2758)</f>
        <v>-93819</v>
      </c>
      <c r="H2759" s="69">
        <f t="shared" ref="H2759:N2759" si="263">SUM(H2745:H2758)</f>
        <v>1069496</v>
      </c>
      <c r="I2759" s="69">
        <f t="shared" si="263"/>
        <v>1537836</v>
      </c>
      <c r="J2759" s="69">
        <f t="shared" si="263"/>
        <v>1293688</v>
      </c>
      <c r="K2759" s="69">
        <f t="shared" si="263"/>
        <v>1384416</v>
      </c>
      <c r="L2759" s="69">
        <f t="shared" si="263"/>
        <v>918817</v>
      </c>
      <c r="M2759" s="69">
        <f t="shared" si="263"/>
        <v>1384416</v>
      </c>
      <c r="N2759" s="69">
        <f t="shared" si="263"/>
        <v>1361782</v>
      </c>
      <c r="O2759" s="281"/>
      <c r="P2759" s="214">
        <v>2391</v>
      </c>
      <c r="Q2759" s="215">
        <v>50</v>
      </c>
      <c r="R2759" s="216" t="s">
        <v>2620</v>
      </c>
      <c r="S2759" s="217"/>
      <c r="T2759" s="218">
        <v>1085416</v>
      </c>
      <c r="U2759" s="218">
        <v>106354.91</v>
      </c>
      <c r="V2759" s="218">
        <v>850754.26</v>
      </c>
      <c r="W2759" s="219">
        <v>78.38</v>
      </c>
    </row>
    <row r="2760" spans="1:23" s="46" customFormat="1" ht="15" customHeight="1" thickTop="1">
      <c r="A2760" s="5"/>
      <c r="B2760" s="5"/>
      <c r="C2760" s="3">
        <v>50</v>
      </c>
      <c r="D2760" s="47"/>
      <c r="E2760" s="47"/>
      <c r="F2760" s="191"/>
      <c r="G2760" s="56"/>
      <c r="H2760" s="56"/>
      <c r="I2760" s="56"/>
      <c r="J2760" s="56"/>
      <c r="K2760" s="56"/>
      <c r="L2760" s="56"/>
      <c r="M2760" s="56"/>
      <c r="N2760" s="56"/>
      <c r="O2760" s="289"/>
      <c r="P2760" s="221"/>
      <c r="Q2760" s="221"/>
      <c r="R2760" s="221"/>
      <c r="S2760" s="221"/>
      <c r="T2760" s="221"/>
      <c r="U2760" s="221"/>
      <c r="V2760" s="221"/>
      <c r="W2760" s="221"/>
    </row>
    <row r="2761" spans="1:23" ht="15" customHeight="1">
      <c r="C2761" s="3">
        <v>50</v>
      </c>
      <c r="D2761" s="47" t="s">
        <v>2413</v>
      </c>
      <c r="G2761" s="26"/>
      <c r="H2761" s="26"/>
      <c r="I2761" s="26"/>
      <c r="J2761" s="26"/>
      <c r="K2761" s="26"/>
      <c r="L2761" s="26"/>
      <c r="M2761" s="26"/>
      <c r="N2761" s="26"/>
      <c r="P2761" s="214">
        <v>2392</v>
      </c>
      <c r="Q2761" s="215">
        <v>50</v>
      </c>
      <c r="R2761" s="216" t="s">
        <v>2646</v>
      </c>
      <c r="S2761" s="217"/>
      <c r="T2761" s="218"/>
      <c r="U2761" s="218"/>
      <c r="V2761" s="218"/>
      <c r="W2761" s="219"/>
    </row>
    <row r="2762" spans="1:23" ht="15" customHeight="1">
      <c r="C2762" s="3">
        <v>50</v>
      </c>
      <c r="G2762" s="26"/>
      <c r="H2762" s="26"/>
      <c r="I2762" s="26"/>
      <c r="J2762" s="26"/>
      <c r="K2762" s="26"/>
      <c r="L2762" s="26"/>
      <c r="M2762" s="26"/>
      <c r="N2762" s="26"/>
      <c r="P2762" s="214">
        <v>2393</v>
      </c>
      <c r="Q2762" s="215">
        <v>50</v>
      </c>
      <c r="R2762" s="216" t="s">
        <v>2634</v>
      </c>
      <c r="S2762" s="217"/>
      <c r="T2762" s="218"/>
      <c r="U2762" s="218"/>
      <c r="V2762" s="218"/>
      <c r="W2762" s="219"/>
    </row>
    <row r="2763" spans="1:23" ht="15" customHeight="1">
      <c r="C2763" s="3">
        <v>50</v>
      </c>
      <c r="D2763" s="15" t="s">
        <v>1860</v>
      </c>
      <c r="E2763" s="312" t="s">
        <v>1658</v>
      </c>
      <c r="G2763" s="26">
        <v>-9029</v>
      </c>
      <c r="H2763" s="26">
        <v>147625</v>
      </c>
      <c r="I2763" s="26">
        <v>137561</v>
      </c>
      <c r="J2763" s="26">
        <v>0</v>
      </c>
      <c r="K2763" s="26">
        <v>0</v>
      </c>
      <c r="L2763" s="26">
        <v>0</v>
      </c>
      <c r="M2763" s="26">
        <v>0</v>
      </c>
      <c r="N2763" s="26">
        <v>0</v>
      </c>
      <c r="O2763" s="285"/>
      <c r="P2763" s="214">
        <v>2394</v>
      </c>
      <c r="Q2763" s="215">
        <v>50</v>
      </c>
      <c r="R2763" s="216" t="s">
        <v>1860</v>
      </c>
      <c r="S2763" s="217" t="s">
        <v>1658</v>
      </c>
      <c r="T2763" s="218">
        <v>0</v>
      </c>
      <c r="U2763" s="218">
        <v>0</v>
      </c>
      <c r="V2763" s="218">
        <v>0</v>
      </c>
      <c r="W2763" s="219">
        <v>0</v>
      </c>
    </row>
    <row r="2764" spans="1:23" ht="15" customHeight="1">
      <c r="C2764" s="3">
        <v>50</v>
      </c>
      <c r="D2764" s="15" t="s">
        <v>1861</v>
      </c>
      <c r="E2764" s="312" t="s">
        <v>2518</v>
      </c>
      <c r="G2764" s="26">
        <v>-1965</v>
      </c>
      <c r="H2764" s="26">
        <v>68079</v>
      </c>
      <c r="I2764" s="26">
        <v>65463</v>
      </c>
      <c r="J2764" s="26">
        <v>62583</v>
      </c>
      <c r="K2764" s="26">
        <v>0</v>
      </c>
      <c r="L2764" s="26">
        <v>30541</v>
      </c>
      <c r="M2764" s="26">
        <v>0</v>
      </c>
      <c r="N2764" s="26">
        <v>0</v>
      </c>
      <c r="O2764" s="285"/>
      <c r="P2764" s="214">
        <v>2395</v>
      </c>
      <c r="Q2764" s="215">
        <v>50</v>
      </c>
      <c r="R2764" s="216" t="s">
        <v>1861</v>
      </c>
      <c r="S2764" s="217" t="s">
        <v>2518</v>
      </c>
      <c r="T2764" s="218">
        <v>0</v>
      </c>
      <c r="U2764" s="218">
        <v>0</v>
      </c>
      <c r="V2764" s="218">
        <v>30541.25</v>
      </c>
      <c r="W2764" s="219">
        <v>0</v>
      </c>
    </row>
    <row r="2765" spans="1:23" ht="15" customHeight="1">
      <c r="C2765" s="3">
        <v>50</v>
      </c>
      <c r="D2765" s="14" t="s">
        <v>2524</v>
      </c>
      <c r="E2765" s="312" t="s">
        <v>2519</v>
      </c>
      <c r="G2765" s="26">
        <v>0</v>
      </c>
      <c r="H2765" s="26">
        <v>0</v>
      </c>
      <c r="I2765" s="26">
        <v>0</v>
      </c>
      <c r="J2765" s="26">
        <v>52169</v>
      </c>
      <c r="K2765" s="26">
        <v>0</v>
      </c>
      <c r="L2765" s="26">
        <v>44369</v>
      </c>
      <c r="M2765" s="26">
        <v>0</v>
      </c>
      <c r="N2765" s="26">
        <v>72538</v>
      </c>
      <c r="O2765" s="285"/>
      <c r="P2765" s="214">
        <v>2396</v>
      </c>
      <c r="Q2765" s="215">
        <v>50</v>
      </c>
      <c r="R2765" s="216" t="s">
        <v>2524</v>
      </c>
      <c r="S2765" s="217" t="s">
        <v>2519</v>
      </c>
      <c r="T2765" s="218">
        <v>0</v>
      </c>
      <c r="U2765" s="218">
        <v>0</v>
      </c>
      <c r="V2765" s="218">
        <v>44368.75</v>
      </c>
      <c r="W2765" s="219">
        <v>0</v>
      </c>
    </row>
    <row r="2766" spans="1:23" ht="15" customHeight="1">
      <c r="C2766" s="3">
        <v>50</v>
      </c>
      <c r="D2766" s="15" t="s">
        <v>1862</v>
      </c>
      <c r="E2766" s="312" t="s">
        <v>2520</v>
      </c>
      <c r="G2766" s="26">
        <v>-71303</v>
      </c>
      <c r="H2766" s="26">
        <v>32698</v>
      </c>
      <c r="I2766" s="26">
        <v>64046</v>
      </c>
      <c r="J2766" s="26">
        <v>61346</v>
      </c>
      <c r="K2766" s="26">
        <v>58478</v>
      </c>
      <c r="L2766" s="26">
        <v>29998</v>
      </c>
      <c r="M2766" s="26">
        <v>58478</v>
      </c>
      <c r="N2766" s="26">
        <v>55440</v>
      </c>
      <c r="O2766" s="285"/>
      <c r="P2766" s="214">
        <v>2397</v>
      </c>
      <c r="Q2766" s="215">
        <v>50</v>
      </c>
      <c r="R2766" s="216" t="s">
        <v>1862</v>
      </c>
      <c r="S2766" s="217" t="s">
        <v>2520</v>
      </c>
      <c r="T2766" s="218">
        <v>58478</v>
      </c>
      <c r="U2766" s="218">
        <v>0</v>
      </c>
      <c r="V2766" s="218">
        <v>29998.13</v>
      </c>
      <c r="W2766" s="219">
        <v>51.3</v>
      </c>
    </row>
    <row r="2767" spans="1:23" ht="15" customHeight="1">
      <c r="C2767" s="3">
        <v>50</v>
      </c>
      <c r="D2767" s="15" t="s">
        <v>1863</v>
      </c>
      <c r="E2767" s="312" t="s">
        <v>1864</v>
      </c>
      <c r="G2767" s="26">
        <v>0</v>
      </c>
      <c r="H2767" s="26">
        <v>0</v>
      </c>
      <c r="I2767" s="26">
        <v>128056</v>
      </c>
      <c r="J2767" s="26">
        <v>161950</v>
      </c>
      <c r="K2767" s="26">
        <v>161200</v>
      </c>
      <c r="L2767" s="26">
        <v>80788</v>
      </c>
      <c r="M2767" s="26">
        <v>161200</v>
      </c>
      <c r="N2767" s="26">
        <v>160375</v>
      </c>
      <c r="O2767" s="285"/>
      <c r="P2767" s="214">
        <v>2398</v>
      </c>
      <c r="Q2767" s="215">
        <v>50</v>
      </c>
      <c r="R2767" s="216" t="s">
        <v>1863</v>
      </c>
      <c r="S2767" s="217" t="s">
        <v>1864</v>
      </c>
      <c r="T2767" s="218">
        <v>161200</v>
      </c>
      <c r="U2767" s="218">
        <v>0</v>
      </c>
      <c r="V2767" s="218">
        <v>80787.5</v>
      </c>
      <c r="W2767" s="219">
        <v>50.12</v>
      </c>
    </row>
    <row r="2768" spans="1:23" ht="15" customHeight="1">
      <c r="C2768" s="3">
        <v>50</v>
      </c>
      <c r="D2768" s="15" t="s">
        <v>1865</v>
      </c>
      <c r="E2768" s="312" t="s">
        <v>1866</v>
      </c>
      <c r="G2768" s="26">
        <v>0</v>
      </c>
      <c r="H2768" s="26">
        <v>0</v>
      </c>
      <c r="I2768" s="26">
        <v>0</v>
      </c>
      <c r="J2768" s="26">
        <v>85113</v>
      </c>
      <c r="K2768" s="26">
        <v>74000</v>
      </c>
      <c r="L2768" s="26">
        <v>38125</v>
      </c>
      <c r="M2768" s="26">
        <v>74000</v>
      </c>
      <c r="N2768" s="26">
        <v>68500</v>
      </c>
      <c r="O2768" s="285"/>
      <c r="P2768" s="214">
        <v>2399</v>
      </c>
      <c r="Q2768" s="215">
        <v>50</v>
      </c>
      <c r="R2768" s="216" t="s">
        <v>1865</v>
      </c>
      <c r="S2768" s="217" t="s">
        <v>1866</v>
      </c>
      <c r="T2768" s="218">
        <v>74000</v>
      </c>
      <c r="U2768" s="218">
        <v>0</v>
      </c>
      <c r="V2768" s="218">
        <v>38125</v>
      </c>
      <c r="W2768" s="219">
        <v>51.52</v>
      </c>
    </row>
    <row r="2769" spans="1:23" ht="15" customHeight="1">
      <c r="C2769" s="3">
        <v>50</v>
      </c>
      <c r="D2769" s="15" t="s">
        <v>3045</v>
      </c>
      <c r="E2769" s="312" t="s">
        <v>3047</v>
      </c>
      <c r="G2769" s="26">
        <v>0</v>
      </c>
      <c r="H2769" s="26">
        <v>0</v>
      </c>
      <c r="I2769" s="26">
        <v>0</v>
      </c>
      <c r="J2769" s="26">
        <v>85113</v>
      </c>
      <c r="K2769" s="26">
        <v>74000</v>
      </c>
      <c r="L2769" s="26">
        <v>38125</v>
      </c>
      <c r="M2769" s="26">
        <v>74000</v>
      </c>
      <c r="N2769" s="26">
        <v>46929</v>
      </c>
      <c r="O2769" s="285" t="s">
        <v>3050</v>
      </c>
      <c r="P2769" s="214">
        <v>2399</v>
      </c>
      <c r="Q2769" s="215">
        <v>50</v>
      </c>
      <c r="R2769" s="216" t="s">
        <v>1865</v>
      </c>
      <c r="S2769" s="217" t="s">
        <v>1866</v>
      </c>
      <c r="T2769" s="218">
        <v>74000</v>
      </c>
      <c r="U2769" s="218">
        <v>0</v>
      </c>
      <c r="V2769" s="218">
        <v>38125</v>
      </c>
      <c r="W2769" s="219">
        <v>51.52</v>
      </c>
    </row>
    <row r="2770" spans="1:23" ht="15" customHeight="1">
      <c r="C2770" s="3">
        <v>50</v>
      </c>
      <c r="D2770" s="15" t="s">
        <v>1867</v>
      </c>
      <c r="E2770" s="312" t="s">
        <v>1868</v>
      </c>
      <c r="G2770" s="26">
        <v>-11725</v>
      </c>
      <c r="H2770" s="26">
        <v>130063</v>
      </c>
      <c r="I2770" s="26">
        <v>117463</v>
      </c>
      <c r="J2770" s="26">
        <v>0</v>
      </c>
      <c r="K2770" s="26">
        <v>88738</v>
      </c>
      <c r="L2770" s="26">
        <v>0</v>
      </c>
      <c r="M2770" s="26">
        <v>88738</v>
      </c>
      <c r="N2770" s="26">
        <v>0</v>
      </c>
      <c r="O2770" s="285"/>
      <c r="P2770" s="214">
        <v>2400</v>
      </c>
      <c r="Q2770" s="215">
        <v>50</v>
      </c>
      <c r="R2770" s="216" t="s">
        <v>1867</v>
      </c>
      <c r="S2770" s="217" t="s">
        <v>1868</v>
      </c>
      <c r="T2770" s="218">
        <v>88738</v>
      </c>
      <c r="U2770" s="218">
        <v>0</v>
      </c>
      <c r="V2770" s="218">
        <v>0</v>
      </c>
      <c r="W2770" s="219">
        <v>0</v>
      </c>
    </row>
    <row r="2771" spans="1:23" ht="15" customHeight="1">
      <c r="C2771" s="3">
        <v>50</v>
      </c>
      <c r="D2771" s="15" t="s">
        <v>1869</v>
      </c>
      <c r="E2771" s="312" t="s">
        <v>1659</v>
      </c>
      <c r="G2771" s="26">
        <v>10000</v>
      </c>
      <c r="H2771" s="26">
        <v>245000</v>
      </c>
      <c r="I2771" s="26">
        <v>255000</v>
      </c>
      <c r="J2771" s="26">
        <v>0</v>
      </c>
      <c r="K2771" s="26">
        <v>0</v>
      </c>
      <c r="L2771" s="26">
        <v>0</v>
      </c>
      <c r="M2771" s="26">
        <v>0</v>
      </c>
      <c r="N2771" s="26">
        <v>0</v>
      </c>
      <c r="O2771" s="285"/>
      <c r="P2771" s="214">
        <v>2401</v>
      </c>
      <c r="Q2771" s="215">
        <v>50</v>
      </c>
      <c r="R2771" s="216" t="s">
        <v>1869</v>
      </c>
      <c r="S2771" s="217" t="s">
        <v>1659</v>
      </c>
      <c r="T2771" s="218">
        <v>0</v>
      </c>
      <c r="U2771" s="218">
        <v>0</v>
      </c>
      <c r="V2771" s="218">
        <v>0</v>
      </c>
      <c r="W2771" s="219">
        <v>0</v>
      </c>
    </row>
    <row r="2772" spans="1:23" ht="15" customHeight="1">
      <c r="C2772" s="3">
        <v>50</v>
      </c>
      <c r="D2772" s="15" t="s">
        <v>1870</v>
      </c>
      <c r="E2772" s="312" t="s">
        <v>2521</v>
      </c>
      <c r="G2772" s="26">
        <v>5000</v>
      </c>
      <c r="H2772" s="26">
        <v>115000</v>
      </c>
      <c r="I2772" s="26">
        <v>120000</v>
      </c>
      <c r="J2772" s="26">
        <v>125000</v>
      </c>
      <c r="K2772" s="26">
        <v>0</v>
      </c>
      <c r="L2772" s="26">
        <v>130000</v>
      </c>
      <c r="M2772" s="26">
        <v>0</v>
      </c>
      <c r="N2772" s="26">
        <v>0</v>
      </c>
      <c r="O2772" s="285"/>
      <c r="P2772" s="214">
        <v>2402</v>
      </c>
      <c r="Q2772" s="215">
        <v>50</v>
      </c>
      <c r="R2772" s="216" t="s">
        <v>1870</v>
      </c>
      <c r="S2772" s="217" t="s">
        <v>2521</v>
      </c>
      <c r="T2772" s="218">
        <v>0</v>
      </c>
      <c r="U2772" s="218">
        <v>0</v>
      </c>
      <c r="V2772" s="218">
        <v>130000</v>
      </c>
      <c r="W2772" s="219">
        <v>0</v>
      </c>
    </row>
    <row r="2773" spans="1:23" ht="15" customHeight="1">
      <c r="C2773" s="3">
        <v>50</v>
      </c>
      <c r="D2773" s="14" t="s">
        <v>2525</v>
      </c>
      <c r="E2773" s="312" t="s">
        <v>2522</v>
      </c>
      <c r="G2773" s="26">
        <v>0</v>
      </c>
      <c r="H2773" s="26">
        <v>0</v>
      </c>
      <c r="I2773" s="26">
        <v>0</v>
      </c>
      <c r="J2773" s="26">
        <v>390000</v>
      </c>
      <c r="K2773" s="26">
        <v>0</v>
      </c>
      <c r="L2773" s="26">
        <v>0</v>
      </c>
      <c r="M2773" s="26">
        <v>0</v>
      </c>
      <c r="N2773" s="26">
        <v>415000</v>
      </c>
      <c r="O2773" s="285"/>
      <c r="P2773" s="214">
        <v>2403</v>
      </c>
      <c r="Q2773" s="215">
        <v>50</v>
      </c>
      <c r="R2773" s="216" t="s">
        <v>2525</v>
      </c>
      <c r="S2773" s="217" t="s">
        <v>2522</v>
      </c>
      <c r="T2773" s="218">
        <v>0</v>
      </c>
      <c r="U2773" s="218">
        <v>0</v>
      </c>
      <c r="V2773" s="218">
        <v>0</v>
      </c>
      <c r="W2773" s="219">
        <v>0</v>
      </c>
    </row>
    <row r="2774" spans="1:23" ht="15" customHeight="1">
      <c r="C2774" s="3">
        <v>50</v>
      </c>
      <c r="D2774" s="15" t="s">
        <v>1871</v>
      </c>
      <c r="E2774" s="312" t="s">
        <v>2523</v>
      </c>
      <c r="G2774" s="26">
        <v>-35000</v>
      </c>
      <c r="H2774" s="26">
        <v>0</v>
      </c>
      <c r="I2774" s="26">
        <v>40000</v>
      </c>
      <c r="J2774" s="26">
        <v>40000</v>
      </c>
      <c r="K2774" s="26">
        <v>45000</v>
      </c>
      <c r="L2774" s="26">
        <v>45000</v>
      </c>
      <c r="M2774" s="26">
        <v>45000</v>
      </c>
      <c r="N2774" s="26">
        <v>45000</v>
      </c>
      <c r="O2774" s="285"/>
      <c r="P2774" s="214">
        <v>2404</v>
      </c>
      <c r="Q2774" s="215">
        <v>50</v>
      </c>
      <c r="R2774" s="216" t="s">
        <v>1871</v>
      </c>
      <c r="S2774" s="217" t="s">
        <v>2523</v>
      </c>
      <c r="T2774" s="218">
        <v>45000</v>
      </c>
      <c r="U2774" s="218">
        <v>0</v>
      </c>
      <c r="V2774" s="218">
        <v>45000</v>
      </c>
      <c r="W2774" s="219">
        <v>100</v>
      </c>
    </row>
    <row r="2775" spans="1:23" ht="15" customHeight="1">
      <c r="C2775" s="3">
        <v>50</v>
      </c>
      <c r="D2775" s="15" t="s">
        <v>1872</v>
      </c>
      <c r="E2775" s="312" t="s">
        <v>1873</v>
      </c>
      <c r="G2775" s="26">
        <v>0</v>
      </c>
      <c r="H2775" s="26">
        <v>0</v>
      </c>
      <c r="I2775" s="26">
        <v>0</v>
      </c>
      <c r="J2775" s="26">
        <v>25000</v>
      </c>
      <c r="K2775" s="26">
        <v>25000</v>
      </c>
      <c r="L2775" s="26">
        <v>25000</v>
      </c>
      <c r="M2775" s="26">
        <v>25000</v>
      </c>
      <c r="N2775" s="26">
        <v>30000</v>
      </c>
      <c r="O2775" s="285"/>
      <c r="P2775" s="214">
        <v>2405</v>
      </c>
      <c r="Q2775" s="215">
        <v>50</v>
      </c>
      <c r="R2775" s="216" t="s">
        <v>1872</v>
      </c>
      <c r="S2775" s="217" t="s">
        <v>1873</v>
      </c>
      <c r="T2775" s="218">
        <v>25000</v>
      </c>
      <c r="U2775" s="218">
        <v>0</v>
      </c>
      <c r="V2775" s="218">
        <v>25000</v>
      </c>
      <c r="W2775" s="219">
        <v>100</v>
      </c>
    </row>
    <row r="2776" spans="1:23" ht="15" customHeight="1">
      <c r="C2776" s="3">
        <v>50</v>
      </c>
      <c r="D2776" s="15" t="s">
        <v>1874</v>
      </c>
      <c r="E2776" s="312" t="s">
        <v>1875</v>
      </c>
      <c r="G2776" s="26">
        <v>0</v>
      </c>
      <c r="H2776" s="26">
        <v>0</v>
      </c>
      <c r="I2776" s="26">
        <v>0</v>
      </c>
      <c r="J2776" s="26">
        <v>215000</v>
      </c>
      <c r="K2776" s="26">
        <v>225000</v>
      </c>
      <c r="L2776" s="26">
        <v>225000</v>
      </c>
      <c r="M2776" s="26">
        <v>225000</v>
      </c>
      <c r="N2776" s="26">
        <v>325000</v>
      </c>
      <c r="O2776" s="285"/>
      <c r="P2776" s="214">
        <v>2406</v>
      </c>
      <c r="Q2776" s="215">
        <v>50</v>
      </c>
      <c r="R2776" s="216" t="s">
        <v>1874</v>
      </c>
      <c r="S2776" s="217" t="s">
        <v>1875</v>
      </c>
      <c r="T2776" s="218">
        <v>225000</v>
      </c>
      <c r="U2776" s="218">
        <v>0</v>
      </c>
      <c r="V2776" s="218">
        <v>225000</v>
      </c>
      <c r="W2776" s="219">
        <v>100</v>
      </c>
    </row>
    <row r="2777" spans="1:23" ht="15" customHeight="1">
      <c r="C2777" s="3">
        <v>50</v>
      </c>
      <c r="D2777" s="15" t="s">
        <v>3046</v>
      </c>
      <c r="E2777" s="312" t="s">
        <v>3048</v>
      </c>
      <c r="G2777" s="26">
        <v>0</v>
      </c>
      <c r="H2777" s="26">
        <v>0</v>
      </c>
      <c r="I2777" s="26">
        <v>0</v>
      </c>
      <c r="J2777" s="26">
        <v>215000</v>
      </c>
      <c r="K2777" s="26">
        <v>225000</v>
      </c>
      <c r="L2777" s="26">
        <v>225000</v>
      </c>
      <c r="M2777" s="26">
        <v>225000</v>
      </c>
      <c r="N2777" s="26">
        <v>140000</v>
      </c>
      <c r="O2777" s="285" t="s">
        <v>3050</v>
      </c>
      <c r="P2777" s="214">
        <v>2406</v>
      </c>
      <c r="Q2777" s="215">
        <v>50</v>
      </c>
      <c r="R2777" s="216" t="s">
        <v>1874</v>
      </c>
      <c r="S2777" s="217" t="s">
        <v>1875</v>
      </c>
      <c r="T2777" s="218">
        <v>225000</v>
      </c>
      <c r="U2777" s="218">
        <v>0</v>
      </c>
      <c r="V2777" s="218">
        <v>225000</v>
      </c>
      <c r="W2777" s="219">
        <v>100</v>
      </c>
    </row>
    <row r="2778" spans="1:23" ht="15" customHeight="1">
      <c r="C2778" s="3">
        <v>50</v>
      </c>
      <c r="D2778" s="15" t="s">
        <v>1876</v>
      </c>
      <c r="E2778" s="312" t="s">
        <v>1877</v>
      </c>
      <c r="G2778" s="26">
        <v>15000</v>
      </c>
      <c r="H2778" s="26">
        <v>360000</v>
      </c>
      <c r="I2778" s="26">
        <v>375000</v>
      </c>
      <c r="J2778" s="26">
        <v>52169</v>
      </c>
      <c r="K2778" s="26">
        <v>405000</v>
      </c>
      <c r="L2778" s="26">
        <v>0</v>
      </c>
      <c r="M2778" s="26">
        <v>405000</v>
      </c>
      <c r="N2778" s="26">
        <v>0</v>
      </c>
      <c r="O2778" s="285"/>
      <c r="P2778" s="214">
        <v>2407</v>
      </c>
      <c r="Q2778" s="215">
        <v>50</v>
      </c>
      <c r="R2778" s="216" t="s">
        <v>1876</v>
      </c>
      <c r="S2778" s="217" t="s">
        <v>1877</v>
      </c>
      <c r="T2778" s="218">
        <v>405000</v>
      </c>
      <c r="U2778" s="218">
        <v>0</v>
      </c>
      <c r="V2778" s="218">
        <v>0</v>
      </c>
      <c r="W2778" s="219">
        <v>0</v>
      </c>
    </row>
    <row r="2779" spans="1:23" ht="15" customHeight="1">
      <c r="C2779" s="3">
        <v>50</v>
      </c>
      <c r="D2779" s="15" t="s">
        <v>1878</v>
      </c>
      <c r="E2779" s="312" t="s">
        <v>1660</v>
      </c>
      <c r="G2779" s="26">
        <v>600</v>
      </c>
      <c r="H2779" s="26">
        <v>300</v>
      </c>
      <c r="I2779" s="26">
        <v>0</v>
      </c>
      <c r="J2779" s="26">
        <v>0</v>
      </c>
      <c r="K2779" s="26">
        <v>0</v>
      </c>
      <c r="L2779" s="26">
        <v>0</v>
      </c>
      <c r="M2779" s="26">
        <v>0</v>
      </c>
      <c r="N2779" s="26">
        <v>0</v>
      </c>
      <c r="O2779" s="285"/>
      <c r="P2779" s="214">
        <v>2408</v>
      </c>
      <c r="Q2779" s="215">
        <v>50</v>
      </c>
      <c r="R2779" s="216" t="s">
        <v>1878</v>
      </c>
      <c r="S2779" s="217" t="s">
        <v>1660</v>
      </c>
      <c r="T2779" s="218">
        <v>0</v>
      </c>
      <c r="U2779" s="218">
        <v>0</v>
      </c>
      <c r="V2779" s="218">
        <v>0</v>
      </c>
      <c r="W2779" s="219">
        <v>0</v>
      </c>
    </row>
    <row r="2780" spans="1:23" ht="15" customHeight="1">
      <c r="C2780" s="3">
        <v>50</v>
      </c>
      <c r="D2780" s="15" t="s">
        <v>1879</v>
      </c>
      <c r="E2780" s="312" t="s">
        <v>1880</v>
      </c>
      <c r="G2780" s="26">
        <v>4800</v>
      </c>
      <c r="H2780" s="26">
        <v>1600</v>
      </c>
      <c r="I2780" s="26">
        <v>1600</v>
      </c>
      <c r="J2780" s="26">
        <v>1500</v>
      </c>
      <c r="K2780" s="26">
        <v>0</v>
      </c>
      <c r="L2780" s="26">
        <v>1050</v>
      </c>
      <c r="M2780" s="26">
        <v>0</v>
      </c>
      <c r="N2780" s="26">
        <v>0</v>
      </c>
      <c r="O2780" s="285"/>
      <c r="P2780" s="214">
        <v>2409</v>
      </c>
      <c r="Q2780" s="215">
        <v>50</v>
      </c>
      <c r="R2780" s="216" t="s">
        <v>1879</v>
      </c>
      <c r="S2780" s="217" t="s">
        <v>1880</v>
      </c>
      <c r="T2780" s="218">
        <v>0</v>
      </c>
      <c r="U2780" s="218">
        <v>0</v>
      </c>
      <c r="V2780" s="218">
        <v>1050</v>
      </c>
      <c r="W2780" s="219">
        <v>0</v>
      </c>
    </row>
    <row r="2781" spans="1:23" ht="15" customHeight="1">
      <c r="C2781" s="3">
        <v>50</v>
      </c>
      <c r="D2781" s="15" t="s">
        <v>1881</v>
      </c>
      <c r="E2781" s="312" t="s">
        <v>1882</v>
      </c>
      <c r="G2781" s="26">
        <v>0</v>
      </c>
      <c r="H2781" s="26">
        <v>0</v>
      </c>
      <c r="I2781" s="26">
        <v>0</v>
      </c>
      <c r="J2781" s="26">
        <v>0</v>
      </c>
      <c r="K2781" s="26">
        <v>0</v>
      </c>
      <c r="L2781" s="26">
        <v>0</v>
      </c>
      <c r="M2781" s="26">
        <v>0</v>
      </c>
      <c r="N2781" s="26">
        <v>3000</v>
      </c>
      <c r="O2781" s="285"/>
      <c r="P2781" s="214">
        <v>2410</v>
      </c>
      <c r="Q2781" s="215">
        <v>50</v>
      </c>
      <c r="R2781" s="216" t="s">
        <v>1881</v>
      </c>
      <c r="S2781" s="217" t="s">
        <v>1882</v>
      </c>
      <c r="T2781" s="218">
        <v>0</v>
      </c>
      <c r="U2781" s="218">
        <v>0</v>
      </c>
      <c r="V2781" s="218">
        <v>0</v>
      </c>
      <c r="W2781" s="219">
        <v>0</v>
      </c>
    </row>
    <row r="2782" spans="1:23" ht="15" customHeight="1">
      <c r="C2782" s="3">
        <v>50</v>
      </c>
      <c r="G2782" s="26"/>
      <c r="H2782" s="26"/>
      <c r="I2782" s="26"/>
      <c r="J2782" s="26"/>
      <c r="K2782" s="26"/>
      <c r="L2782" s="26"/>
      <c r="M2782" s="26"/>
      <c r="N2782" s="26"/>
      <c r="P2782" s="214">
        <v>2411</v>
      </c>
      <c r="Q2782" s="215">
        <v>50</v>
      </c>
      <c r="R2782" s="216" t="s">
        <v>2623</v>
      </c>
      <c r="S2782" s="217"/>
      <c r="T2782" s="218"/>
      <c r="U2782" s="218"/>
      <c r="V2782" s="218"/>
      <c r="W2782" s="219"/>
    </row>
    <row r="2783" spans="1:23" s="67" customFormat="1" ht="15" customHeight="1">
      <c r="A2783" s="63" t="s">
        <v>2411</v>
      </c>
      <c r="B2783" s="67" t="s">
        <v>2317</v>
      </c>
      <c r="C2783" s="3">
        <v>50</v>
      </c>
      <c r="D2783" s="47" t="s">
        <v>2413</v>
      </c>
      <c r="E2783" s="47"/>
      <c r="F2783" s="191"/>
      <c r="G2783" s="48">
        <f>SUM(G2761:G2782)</f>
        <v>-93622</v>
      </c>
      <c r="H2783" s="48">
        <f t="shared" ref="H2783:N2783" si="264">SUM(H2761:H2782)</f>
        <v>1100365</v>
      </c>
      <c r="I2783" s="48">
        <f t="shared" si="264"/>
        <v>1304189</v>
      </c>
      <c r="J2783" s="48">
        <f t="shared" si="264"/>
        <v>1571943</v>
      </c>
      <c r="K2783" s="48">
        <f t="shared" si="264"/>
        <v>1381416</v>
      </c>
      <c r="L2783" s="48">
        <f t="shared" si="264"/>
        <v>912996</v>
      </c>
      <c r="M2783" s="48">
        <f t="shared" si="264"/>
        <v>1381416</v>
      </c>
      <c r="N2783" s="48">
        <f t="shared" si="264"/>
        <v>1361782</v>
      </c>
      <c r="O2783" s="310"/>
      <c r="P2783" s="214">
        <v>2412</v>
      </c>
      <c r="Q2783" s="215">
        <v>50</v>
      </c>
      <c r="R2783" s="216" t="s">
        <v>2646</v>
      </c>
      <c r="S2783" s="217"/>
      <c r="T2783" s="218">
        <v>1082416</v>
      </c>
      <c r="U2783" s="218">
        <v>0</v>
      </c>
      <c r="V2783" s="218">
        <v>649870.63</v>
      </c>
      <c r="W2783" s="219">
        <v>0</v>
      </c>
    </row>
    <row r="2784" spans="1:23" ht="15" customHeight="1">
      <c r="C2784" s="3">
        <v>50</v>
      </c>
      <c r="G2784" s="26"/>
      <c r="H2784" s="26"/>
      <c r="I2784" s="26"/>
      <c r="J2784" s="26"/>
      <c r="K2784" s="26"/>
      <c r="L2784" s="26"/>
      <c r="M2784" s="26"/>
      <c r="N2784" s="26"/>
      <c r="P2784" s="214">
        <v>2413</v>
      </c>
      <c r="Q2784" s="215">
        <v>50</v>
      </c>
      <c r="R2784" s="216" t="s">
        <v>2623</v>
      </c>
      <c r="S2784" s="217"/>
      <c r="T2784" s="218"/>
      <c r="U2784" s="218"/>
      <c r="V2784" s="218"/>
      <c r="W2784" s="219"/>
    </row>
    <row r="2785" spans="1:23" ht="15" customHeight="1">
      <c r="B2785" s="2" t="s">
        <v>2318</v>
      </c>
      <c r="C2785" s="3">
        <v>50</v>
      </c>
      <c r="D2785" s="47" t="s">
        <v>1667</v>
      </c>
      <c r="G2785" s="26">
        <f>+G2783</f>
        <v>-93622</v>
      </c>
      <c r="H2785" s="26">
        <f t="shared" ref="H2785:N2785" si="265">+H2783</f>
        <v>1100365</v>
      </c>
      <c r="I2785" s="26">
        <f t="shared" si="265"/>
        <v>1304189</v>
      </c>
      <c r="J2785" s="26">
        <f t="shared" si="265"/>
        <v>1571943</v>
      </c>
      <c r="K2785" s="26">
        <f t="shared" si="265"/>
        <v>1381416</v>
      </c>
      <c r="L2785" s="26">
        <f t="shared" si="265"/>
        <v>912996</v>
      </c>
      <c r="M2785" s="26">
        <f t="shared" si="265"/>
        <v>1381416</v>
      </c>
      <c r="N2785" s="26">
        <f t="shared" si="265"/>
        <v>1361782</v>
      </c>
      <c r="P2785" s="214">
        <v>2414</v>
      </c>
      <c r="Q2785" s="215">
        <v>50</v>
      </c>
      <c r="R2785" s="216" t="s">
        <v>1667</v>
      </c>
      <c r="S2785" s="217"/>
      <c r="T2785" s="218">
        <v>1082416</v>
      </c>
      <c r="U2785" s="218">
        <v>0</v>
      </c>
      <c r="V2785" s="218">
        <v>649870.63</v>
      </c>
      <c r="W2785" s="219">
        <v>60.04</v>
      </c>
    </row>
    <row r="2786" spans="1:23" ht="15" customHeight="1">
      <c r="C2786" s="3">
        <v>50</v>
      </c>
      <c r="D2786" s="47"/>
      <c r="G2786" s="26"/>
      <c r="H2786" s="26"/>
      <c r="I2786" s="26"/>
      <c r="J2786" s="26"/>
      <c r="K2786" s="26"/>
      <c r="L2786" s="26"/>
      <c r="M2786" s="26"/>
      <c r="N2786" s="26"/>
      <c r="P2786" s="222"/>
      <c r="Q2786" s="222"/>
      <c r="R2786" s="222"/>
      <c r="S2786" s="223"/>
      <c r="T2786" s="223"/>
      <c r="U2786" s="223"/>
      <c r="V2786" s="224"/>
      <c r="W2786" s="224"/>
    </row>
    <row r="2787" spans="1:23" s="31" customFormat="1" ht="15" customHeight="1">
      <c r="A2787" s="2"/>
      <c r="B2787" s="2" t="s">
        <v>2317</v>
      </c>
      <c r="C2787" s="3">
        <v>50</v>
      </c>
      <c r="D2787" s="54" t="s">
        <v>2274</v>
      </c>
      <c r="E2787" s="54"/>
      <c r="F2787" s="192"/>
      <c r="G2787" s="339">
        <f>SUM(G2784:G2786)</f>
        <v>-93622</v>
      </c>
      <c r="H2787" s="339">
        <f t="shared" ref="H2787:N2787" si="266">SUM(H2784:H2786)</f>
        <v>1100365</v>
      </c>
      <c r="I2787" s="339">
        <f t="shared" si="266"/>
        <v>1304189</v>
      </c>
      <c r="J2787" s="339">
        <f t="shared" si="266"/>
        <v>1571943</v>
      </c>
      <c r="K2787" s="339">
        <f t="shared" si="266"/>
        <v>1381416</v>
      </c>
      <c r="L2787" s="339">
        <f t="shared" si="266"/>
        <v>912996</v>
      </c>
      <c r="M2787" s="339">
        <f t="shared" si="266"/>
        <v>1381416</v>
      </c>
      <c r="N2787" s="339">
        <f t="shared" si="266"/>
        <v>1361782</v>
      </c>
      <c r="O2787" s="305"/>
      <c r="P2787" s="214">
        <v>2415</v>
      </c>
      <c r="Q2787" s="215">
        <v>50</v>
      </c>
      <c r="R2787" s="216" t="s">
        <v>2618</v>
      </c>
      <c r="S2787" s="217"/>
      <c r="T2787" s="218">
        <v>1082416</v>
      </c>
      <c r="U2787" s="218">
        <v>0</v>
      </c>
      <c r="V2787" s="218">
        <v>649870.63</v>
      </c>
      <c r="W2787" s="219">
        <v>60.04</v>
      </c>
    </row>
    <row r="2788" spans="1:23" s="46" customFormat="1" ht="15" customHeight="1">
      <c r="A2788" s="5"/>
      <c r="B2788" s="5"/>
      <c r="C2788" s="3">
        <v>50</v>
      </c>
      <c r="D2788" s="47"/>
      <c r="E2788" s="47"/>
      <c r="F2788" s="191"/>
      <c r="G2788" s="56"/>
      <c r="H2788" s="56"/>
      <c r="I2788" s="56"/>
      <c r="J2788" s="56"/>
      <c r="K2788" s="56"/>
      <c r="L2788" s="56"/>
      <c r="M2788" s="56"/>
      <c r="N2788" s="56"/>
      <c r="O2788" s="289"/>
      <c r="P2788" s="221"/>
      <c r="Q2788" s="221"/>
      <c r="R2788" s="221"/>
      <c r="S2788" s="221"/>
      <c r="T2788" s="221"/>
      <c r="U2788" s="221"/>
      <c r="V2788" s="221"/>
      <c r="W2788" s="221"/>
    </row>
    <row r="2789" spans="1:23" s="33" customFormat="1" ht="15" customHeight="1" thickBot="1">
      <c r="A2789" s="2"/>
      <c r="B2789" s="2" t="s">
        <v>2317</v>
      </c>
      <c r="C2789" s="3">
        <v>50</v>
      </c>
      <c r="D2789" s="329" t="s">
        <v>2249</v>
      </c>
      <c r="E2789" s="329"/>
      <c r="F2789" s="330"/>
      <c r="G2789" s="336">
        <f>+G2759-G2787</f>
        <v>-197</v>
      </c>
      <c r="H2789" s="336">
        <f t="shared" ref="H2789:N2789" si="267">+H2759-H2787</f>
        <v>-30869</v>
      </c>
      <c r="I2789" s="336">
        <f t="shared" si="267"/>
        <v>233647</v>
      </c>
      <c r="J2789" s="336">
        <f t="shared" si="267"/>
        <v>-278255</v>
      </c>
      <c r="K2789" s="336">
        <f t="shared" si="267"/>
        <v>3000</v>
      </c>
      <c r="L2789" s="336">
        <f t="shared" si="267"/>
        <v>5821</v>
      </c>
      <c r="M2789" s="336">
        <f t="shared" si="267"/>
        <v>3000</v>
      </c>
      <c r="N2789" s="336">
        <f t="shared" si="267"/>
        <v>0</v>
      </c>
      <c r="O2789" s="301"/>
      <c r="P2789" s="214">
        <v>2416</v>
      </c>
      <c r="Q2789" s="215">
        <v>50</v>
      </c>
      <c r="R2789" s="216" t="s">
        <v>2619</v>
      </c>
      <c r="S2789" s="217"/>
      <c r="T2789" s="218">
        <v>3000</v>
      </c>
      <c r="U2789" s="218">
        <v>106354.91</v>
      </c>
      <c r="V2789" s="218">
        <v>200883.63</v>
      </c>
      <c r="W2789" s="219">
        <v>0</v>
      </c>
    </row>
    <row r="2790" spans="1:23" s="46" customFormat="1" ht="15" customHeight="1" thickTop="1">
      <c r="A2790" s="5"/>
      <c r="B2790" s="5"/>
      <c r="C2790" s="3">
        <v>50</v>
      </c>
      <c r="D2790" s="47"/>
      <c r="E2790" s="47"/>
      <c r="F2790" s="191"/>
      <c r="G2790" s="56"/>
      <c r="H2790" s="56"/>
      <c r="I2790" s="56"/>
      <c r="J2790" s="56"/>
      <c r="K2790" s="56"/>
      <c r="L2790" s="56"/>
      <c r="M2790" s="56"/>
      <c r="N2790" s="56"/>
      <c r="O2790" s="289"/>
      <c r="P2790" s="221"/>
      <c r="Q2790" s="221"/>
      <c r="R2790" s="221"/>
      <c r="S2790" s="221"/>
      <c r="T2790" s="221"/>
      <c r="U2790" s="221"/>
      <c r="V2790" s="221"/>
      <c r="W2790" s="221"/>
    </row>
    <row r="2791" spans="1:23" ht="15" customHeight="1">
      <c r="C2791" s="3">
        <v>50</v>
      </c>
      <c r="D2791" s="54" t="s">
        <v>2875</v>
      </c>
      <c r="E2791" s="54"/>
      <c r="F2791" s="192"/>
      <c r="G2791" s="55"/>
      <c r="H2791" s="55"/>
      <c r="I2791" s="55"/>
      <c r="J2791" s="55"/>
      <c r="K2791" s="55">
        <f>+K2744</f>
        <v>262237.28000000003</v>
      </c>
      <c r="L2791" s="55"/>
      <c r="M2791" s="55">
        <f>+M2744</f>
        <v>3000</v>
      </c>
      <c r="N2791" s="55">
        <f>+N2744</f>
        <v>3000</v>
      </c>
      <c r="O2791" s="253"/>
      <c r="P2791" s="203"/>
      <c r="Q2791" s="204"/>
      <c r="R2791" s="205"/>
      <c r="S2791" s="206"/>
      <c r="T2791" s="207"/>
      <c r="U2791" s="207"/>
      <c r="V2791" s="208"/>
      <c r="W2791" s="212"/>
    </row>
    <row r="2792" spans="1:23" s="46" customFormat="1" ht="15" customHeight="1">
      <c r="A2792" s="195"/>
      <c r="B2792" s="195"/>
      <c r="C2792" s="3">
        <v>50</v>
      </c>
      <c r="D2792" s="47"/>
      <c r="E2792" s="47"/>
      <c r="F2792" s="191"/>
      <c r="G2792" s="56"/>
      <c r="H2792" s="56"/>
      <c r="I2792" s="56"/>
      <c r="J2792" s="56"/>
      <c r="K2792" s="56"/>
      <c r="L2792" s="56"/>
      <c r="M2792" s="56"/>
      <c r="N2792" s="56"/>
      <c r="O2792" s="289"/>
      <c r="P2792" s="221"/>
      <c r="Q2792" s="221"/>
      <c r="R2792" s="221"/>
      <c r="S2792" s="221"/>
      <c r="T2792" s="221"/>
      <c r="U2792" s="221"/>
      <c r="V2792" s="221"/>
      <c r="W2792" s="221"/>
    </row>
    <row r="2793" spans="1:23" s="35" customFormat="1" ht="15" customHeight="1">
      <c r="A2793" s="2"/>
      <c r="B2793" s="2"/>
      <c r="C2793" s="3">
        <v>50</v>
      </c>
      <c r="D2793" s="47" t="s">
        <v>1976</v>
      </c>
      <c r="E2793" s="47"/>
      <c r="F2793" s="191"/>
      <c r="G2793" s="48"/>
      <c r="H2793" s="48"/>
      <c r="I2793" s="48"/>
      <c r="J2793" s="48"/>
      <c r="K2793" s="48"/>
      <c r="L2793" s="48"/>
      <c r="M2793" s="48"/>
      <c r="N2793" s="48"/>
      <c r="O2793" s="276"/>
      <c r="P2793" s="214">
        <v>2417</v>
      </c>
      <c r="Q2793" s="215">
        <v>50</v>
      </c>
      <c r="R2793" s="216" t="s">
        <v>2630</v>
      </c>
      <c r="S2793" s="217"/>
      <c r="T2793" s="218"/>
      <c r="U2793" s="218"/>
      <c r="V2793" s="218"/>
      <c r="W2793" s="219"/>
    </row>
    <row r="2794" spans="1:23" s="35" customFormat="1" ht="15" customHeight="1">
      <c r="A2794" s="2"/>
      <c r="B2794" s="2"/>
      <c r="C2794" s="3"/>
      <c r="D2794" s="47"/>
      <c r="E2794" s="47"/>
      <c r="F2794" s="191"/>
      <c r="G2794" s="48"/>
      <c r="H2794" s="48"/>
      <c r="I2794" s="48"/>
      <c r="J2794" s="48"/>
      <c r="K2794" s="48"/>
      <c r="L2794" s="48"/>
      <c r="M2794" s="48"/>
      <c r="N2794" s="48"/>
      <c r="O2794" s="276"/>
    </row>
    <row r="2795" spans="1:23" s="35" customFormat="1" ht="15" customHeight="1">
      <c r="A2795" s="2"/>
      <c r="B2795" s="2"/>
      <c r="C2795" s="3"/>
      <c r="D2795" s="47"/>
      <c r="E2795" s="47"/>
      <c r="F2795" s="191"/>
      <c r="G2795" s="48"/>
      <c r="H2795" s="48"/>
      <c r="I2795" s="48"/>
      <c r="J2795" s="48"/>
      <c r="K2795" s="48"/>
      <c r="L2795" s="48"/>
      <c r="M2795" s="48"/>
      <c r="N2795" s="48"/>
      <c r="O2795" s="276"/>
    </row>
    <row r="2796" spans="1:23" s="35" customFormat="1" ht="15" customHeight="1">
      <c r="A2796" s="2"/>
      <c r="B2796" s="2"/>
      <c r="C2796" s="3"/>
      <c r="D2796" s="47"/>
      <c r="E2796" s="47"/>
      <c r="F2796" s="191"/>
      <c r="G2796" s="48"/>
      <c r="H2796" s="48"/>
      <c r="I2796" s="48"/>
      <c r="J2796" s="48"/>
      <c r="K2796" s="48"/>
      <c r="L2796" s="48"/>
      <c r="M2796" s="48"/>
      <c r="N2796" s="48"/>
      <c r="O2796" s="276"/>
    </row>
    <row r="2797" spans="1:23" s="35" customFormat="1" ht="15" customHeight="1">
      <c r="A2797" s="2"/>
      <c r="B2797" s="2"/>
      <c r="C2797" s="3">
        <v>52</v>
      </c>
      <c r="D2797" s="47" t="s">
        <v>2387</v>
      </c>
      <c r="E2797" s="47"/>
      <c r="F2797" s="191"/>
      <c r="G2797" s="48"/>
      <c r="H2797" s="48"/>
      <c r="I2797" s="48"/>
      <c r="J2797" s="48"/>
      <c r="K2797" s="48"/>
      <c r="L2797" s="48"/>
      <c r="M2797" s="48"/>
      <c r="N2797" s="48"/>
      <c r="O2797" s="276"/>
    </row>
    <row r="2798" spans="1:23" s="35" customFormat="1" ht="15" customHeight="1">
      <c r="A2798" s="2"/>
      <c r="B2798" s="2"/>
      <c r="C2798" s="3">
        <v>52</v>
      </c>
      <c r="D2798" s="47"/>
      <c r="E2798" s="47"/>
      <c r="F2798" s="191"/>
      <c r="G2798" s="48"/>
      <c r="H2798" s="48"/>
      <c r="I2798" s="48"/>
      <c r="J2798" s="48"/>
      <c r="K2798" s="48"/>
      <c r="L2798" s="48"/>
      <c r="M2798" s="48"/>
      <c r="N2798" s="48"/>
      <c r="O2798" s="276"/>
    </row>
    <row r="2799" spans="1:23" ht="15" customHeight="1">
      <c r="C2799" s="3">
        <v>52</v>
      </c>
      <c r="D2799" s="54" t="s">
        <v>2874</v>
      </c>
      <c r="E2799" s="54"/>
      <c r="F2799" s="192"/>
      <c r="G2799" s="55"/>
      <c r="H2799" s="55"/>
      <c r="I2799" s="55"/>
      <c r="J2799" s="55"/>
      <c r="K2799" s="55">
        <v>106806.34</v>
      </c>
      <c r="L2799" s="55"/>
      <c r="M2799" s="55">
        <f>K2799</f>
        <v>106806.34</v>
      </c>
      <c r="N2799" s="55">
        <f>+M2815</f>
        <v>0.33999999996740371</v>
      </c>
      <c r="O2799" s="278"/>
      <c r="P2799" s="203"/>
      <c r="Q2799" s="204"/>
      <c r="R2799" s="205"/>
      <c r="S2799" s="206"/>
      <c r="T2799" s="207"/>
      <c r="U2799" s="207"/>
      <c r="V2799" s="208"/>
      <c r="W2799" s="212"/>
    </row>
    <row r="2800" spans="1:23" s="35" customFormat="1" ht="15" customHeight="1">
      <c r="A2800" s="2"/>
      <c r="B2800" s="2"/>
      <c r="C2800" s="3">
        <v>52</v>
      </c>
      <c r="D2800" s="47"/>
      <c r="E2800" s="47"/>
      <c r="F2800" s="191"/>
      <c r="G2800" s="48"/>
      <c r="H2800" s="48"/>
      <c r="I2800" s="48"/>
      <c r="J2800" s="48"/>
      <c r="K2800" s="48"/>
      <c r="L2800" s="48"/>
      <c r="M2800" s="48"/>
      <c r="N2800" s="48"/>
      <c r="O2800" s="276"/>
    </row>
    <row r="2801" spans="1:23" ht="15" customHeight="1">
      <c r="C2801" s="3">
        <v>52</v>
      </c>
      <c r="D2801" s="47" t="s">
        <v>2225</v>
      </c>
      <c r="G2801" s="26"/>
      <c r="H2801" s="26"/>
      <c r="I2801" s="26"/>
      <c r="J2801" s="26"/>
      <c r="K2801" s="26"/>
      <c r="L2801" s="26"/>
      <c r="M2801" s="26"/>
      <c r="N2801" s="26"/>
      <c r="P2801" s="214">
        <v>2418</v>
      </c>
      <c r="Q2801" s="215">
        <v>52</v>
      </c>
      <c r="R2801" s="216" t="s">
        <v>2610</v>
      </c>
      <c r="S2801" s="217"/>
      <c r="T2801" s="218"/>
      <c r="U2801" s="218"/>
      <c r="V2801" s="218"/>
      <c r="W2801" s="219"/>
    </row>
    <row r="2802" spans="1:23" ht="15" customHeight="1">
      <c r="C2802" s="3">
        <v>52</v>
      </c>
      <c r="G2802" s="26"/>
      <c r="H2802" s="26"/>
      <c r="I2802" s="26"/>
      <c r="J2802" s="26"/>
      <c r="K2802" s="26"/>
      <c r="L2802" s="26"/>
      <c r="M2802" s="26"/>
      <c r="N2802" s="26"/>
      <c r="P2802" s="214">
        <v>2419</v>
      </c>
      <c r="Q2802" s="215">
        <v>52</v>
      </c>
      <c r="R2802" s="216" t="s">
        <v>2611</v>
      </c>
      <c r="S2802" s="217"/>
      <c r="T2802" s="218"/>
      <c r="U2802" s="218"/>
      <c r="V2802" s="218"/>
      <c r="W2802" s="219"/>
    </row>
    <row r="2803" spans="1:23" s="21" customFormat="1" ht="15" customHeight="1">
      <c r="A2803" s="2"/>
      <c r="B2803" s="2" t="s">
        <v>2318</v>
      </c>
      <c r="C2803" s="3">
        <v>52</v>
      </c>
      <c r="D2803" s="54" t="s">
        <v>2201</v>
      </c>
      <c r="E2803" s="54"/>
      <c r="F2803" s="192"/>
      <c r="G2803" s="55">
        <f>+G2805</f>
        <v>15957</v>
      </c>
      <c r="H2803" s="55">
        <f t="shared" ref="H2803:N2803" si="268">+H2805</f>
        <v>8125</v>
      </c>
      <c r="I2803" s="55">
        <f t="shared" si="268"/>
        <v>55979</v>
      </c>
      <c r="J2803" s="55">
        <f t="shared" si="268"/>
        <v>2170</v>
      </c>
      <c r="K2803" s="55">
        <f t="shared" si="268"/>
        <v>0</v>
      </c>
      <c r="L2803" s="55">
        <f t="shared" si="268"/>
        <v>89</v>
      </c>
      <c r="M2803" s="55">
        <f t="shared" si="268"/>
        <v>500100</v>
      </c>
      <c r="N2803" s="55">
        <f t="shared" si="268"/>
        <v>0</v>
      </c>
      <c r="O2803" s="279"/>
      <c r="P2803" s="214">
        <v>2420</v>
      </c>
      <c r="Q2803" s="215">
        <v>52</v>
      </c>
      <c r="R2803" s="216" t="s">
        <v>2612</v>
      </c>
      <c r="S2803" s="217"/>
      <c r="T2803" s="218">
        <v>0</v>
      </c>
      <c r="U2803" s="218">
        <v>500000</v>
      </c>
      <c r="V2803" s="218">
        <v>500089.36</v>
      </c>
      <c r="W2803" s="219">
        <v>0</v>
      </c>
    </row>
    <row r="2804" spans="1:23" s="57" customFormat="1" ht="15" customHeight="1">
      <c r="A2804" s="5"/>
      <c r="B2804" s="5"/>
      <c r="C2804" s="3">
        <v>52</v>
      </c>
      <c r="D2804" s="54"/>
      <c r="E2804" s="54"/>
      <c r="F2804" s="192"/>
      <c r="G2804" s="55"/>
      <c r="H2804" s="55"/>
      <c r="I2804" s="55"/>
      <c r="J2804" s="55"/>
      <c r="K2804" s="55"/>
      <c r="L2804" s="55"/>
      <c r="M2804" s="55"/>
      <c r="N2804" s="55"/>
      <c r="O2804" s="302"/>
      <c r="P2804" s="220"/>
      <c r="Q2804" s="220"/>
      <c r="R2804" s="220"/>
      <c r="S2804" s="220"/>
      <c r="T2804" s="220"/>
      <c r="U2804" s="220"/>
      <c r="V2804" s="220"/>
      <c r="W2804" s="220"/>
    </row>
    <row r="2805" spans="1:23" s="27" customFormat="1" ht="15" customHeight="1" thickBot="1">
      <c r="A2805" s="2"/>
      <c r="B2805" s="2" t="s">
        <v>2318</v>
      </c>
      <c r="C2805" s="3">
        <v>52</v>
      </c>
      <c r="D2805" s="68" t="str">
        <f>+D2823</f>
        <v>*** TOTAL FUND 52 REVENUES ***</v>
      </c>
      <c r="E2805" s="68"/>
      <c r="F2805" s="68">
        <f>+F2823</f>
        <v>0</v>
      </c>
      <c r="G2805" s="69">
        <f>+G2823</f>
        <v>15957</v>
      </c>
      <c r="H2805" s="69">
        <f t="shared" ref="H2805:N2805" si="269">+H2823</f>
        <v>8125</v>
      </c>
      <c r="I2805" s="69">
        <f t="shared" si="269"/>
        <v>55979</v>
      </c>
      <c r="J2805" s="69">
        <f t="shared" si="269"/>
        <v>2170</v>
      </c>
      <c r="K2805" s="69">
        <f t="shared" si="269"/>
        <v>0</v>
      </c>
      <c r="L2805" s="69">
        <f t="shared" si="269"/>
        <v>89</v>
      </c>
      <c r="M2805" s="69">
        <f t="shared" si="269"/>
        <v>500100</v>
      </c>
      <c r="N2805" s="69">
        <f t="shared" si="269"/>
        <v>0</v>
      </c>
      <c r="O2805" s="281"/>
      <c r="P2805" s="214">
        <v>2421</v>
      </c>
      <c r="Q2805" s="215">
        <v>52</v>
      </c>
      <c r="R2805" s="216" t="s">
        <v>2613</v>
      </c>
      <c r="S2805" s="217"/>
      <c r="T2805" s="218">
        <v>0</v>
      </c>
      <c r="U2805" s="218">
        <v>500000</v>
      </c>
      <c r="V2805" s="218">
        <v>500089.36</v>
      </c>
      <c r="W2805" s="219">
        <v>0</v>
      </c>
    </row>
    <row r="2806" spans="1:23" s="46" customFormat="1" ht="15" customHeight="1" thickTop="1">
      <c r="A2806" s="5"/>
      <c r="B2806" s="5"/>
      <c r="C2806" s="3">
        <v>52</v>
      </c>
      <c r="D2806" s="47"/>
      <c r="E2806" s="47"/>
      <c r="F2806" s="47"/>
      <c r="G2806" s="56"/>
      <c r="H2806" s="56"/>
      <c r="I2806" s="56"/>
      <c r="J2806" s="56"/>
      <c r="K2806" s="56"/>
      <c r="L2806" s="56"/>
      <c r="M2806" s="56"/>
      <c r="N2806" s="56"/>
      <c r="O2806" s="289"/>
      <c r="P2806" s="221"/>
      <c r="Q2806" s="221"/>
      <c r="R2806" s="221"/>
      <c r="S2806" s="221"/>
      <c r="T2806" s="221"/>
      <c r="U2806" s="221"/>
      <c r="V2806" s="221"/>
      <c r="W2806" s="221"/>
    </row>
    <row r="2807" spans="1:23" ht="15" customHeight="1">
      <c r="C2807" s="3">
        <v>52</v>
      </c>
      <c r="D2807" s="47" t="s">
        <v>1977</v>
      </c>
      <c r="G2807" s="26"/>
      <c r="H2807" s="26"/>
      <c r="I2807" s="26"/>
      <c r="J2807" s="26"/>
      <c r="K2807" s="26"/>
      <c r="L2807" s="26"/>
      <c r="M2807" s="26"/>
      <c r="N2807" s="26"/>
      <c r="P2807" s="214">
        <v>2422</v>
      </c>
      <c r="Q2807" s="215">
        <v>52</v>
      </c>
      <c r="R2807" s="216" t="s">
        <v>2614</v>
      </c>
      <c r="S2807" s="217"/>
      <c r="T2807" s="218"/>
      <c r="U2807" s="218"/>
      <c r="V2807" s="218"/>
      <c r="W2807" s="219"/>
    </row>
    <row r="2808" spans="1:23" ht="15" customHeight="1">
      <c r="C2808" s="3">
        <v>52</v>
      </c>
      <c r="G2808" s="26"/>
      <c r="H2808" s="26"/>
      <c r="I2808" s="26"/>
      <c r="J2808" s="26"/>
      <c r="K2808" s="26"/>
      <c r="L2808" s="26"/>
      <c r="M2808" s="26"/>
      <c r="N2808" s="26"/>
      <c r="P2808" s="214">
        <v>2423</v>
      </c>
      <c r="Q2808" s="215">
        <v>52</v>
      </c>
      <c r="R2808" s="216" t="s">
        <v>2615</v>
      </c>
      <c r="S2808" s="217"/>
      <c r="T2808" s="218"/>
      <c r="U2808" s="218"/>
      <c r="V2808" s="218"/>
      <c r="W2808" s="219"/>
    </row>
    <row r="2809" spans="1:23" ht="15" customHeight="1">
      <c r="B2809" s="2" t="s">
        <v>2318</v>
      </c>
      <c r="C2809" s="3">
        <v>52</v>
      </c>
      <c r="D2809" s="47" t="s">
        <v>1667</v>
      </c>
      <c r="G2809" s="26">
        <f>+G2839</f>
        <v>382772</v>
      </c>
      <c r="H2809" s="26">
        <f t="shared" ref="H2809:N2809" si="270">+H2839</f>
        <v>102976</v>
      </c>
      <c r="I2809" s="26">
        <f t="shared" si="270"/>
        <v>1128</v>
      </c>
      <c r="J2809" s="26">
        <f t="shared" si="270"/>
        <v>203848</v>
      </c>
      <c r="K2809" s="26">
        <f t="shared" si="270"/>
        <v>0</v>
      </c>
      <c r="L2809" s="26">
        <f t="shared" si="270"/>
        <v>127944</v>
      </c>
      <c r="M2809" s="26">
        <f t="shared" si="270"/>
        <v>606906</v>
      </c>
      <c r="N2809" s="26">
        <f t="shared" si="270"/>
        <v>0</v>
      </c>
      <c r="P2809" s="214">
        <v>2424</v>
      </c>
      <c r="Q2809" s="215">
        <v>52</v>
      </c>
      <c r="R2809" s="216" t="s">
        <v>1667</v>
      </c>
      <c r="S2809" s="217"/>
      <c r="T2809" s="218">
        <v>0</v>
      </c>
      <c r="U2809" s="218">
        <v>168478.67</v>
      </c>
      <c r="V2809" s="218">
        <v>296422.65000000002</v>
      </c>
      <c r="W2809" s="219">
        <v>0</v>
      </c>
    </row>
    <row r="2810" spans="1:23" ht="15" customHeight="1">
      <c r="C2810" s="3">
        <v>52</v>
      </c>
      <c r="D2810" s="47"/>
      <c r="G2810" s="26"/>
      <c r="H2810" s="26"/>
      <c r="I2810" s="26"/>
      <c r="J2810" s="26"/>
      <c r="K2810" s="26"/>
      <c r="L2810" s="26"/>
      <c r="M2810" s="26"/>
      <c r="N2810" s="26"/>
      <c r="P2810" s="222"/>
      <c r="Q2810" s="222"/>
      <c r="R2810" s="222"/>
      <c r="S2810" s="223"/>
      <c r="T2810" s="223"/>
      <c r="U2810" s="223"/>
      <c r="V2810" s="224"/>
      <c r="W2810" s="224"/>
    </row>
    <row r="2811" spans="1:23" s="37" customFormat="1" ht="15" customHeight="1">
      <c r="A2811" s="2"/>
      <c r="B2811" s="2" t="s">
        <v>2318</v>
      </c>
      <c r="C2811" s="3">
        <v>52</v>
      </c>
      <c r="D2811" s="54" t="str">
        <f>+D2841</f>
        <v>*** TOTAL FUND 52 EXPENSES ***</v>
      </c>
      <c r="E2811" s="54"/>
      <c r="F2811" s="54">
        <f t="shared" ref="F2811:N2811" si="271">+F2841</f>
        <v>0</v>
      </c>
      <c r="G2811" s="339">
        <f t="shared" si="271"/>
        <v>382772</v>
      </c>
      <c r="H2811" s="339">
        <f t="shared" si="271"/>
        <v>102976</v>
      </c>
      <c r="I2811" s="339">
        <f t="shared" si="271"/>
        <v>1128</v>
      </c>
      <c r="J2811" s="339">
        <f t="shared" si="271"/>
        <v>203848</v>
      </c>
      <c r="K2811" s="339">
        <f t="shared" si="271"/>
        <v>0</v>
      </c>
      <c r="L2811" s="339">
        <f t="shared" si="271"/>
        <v>127944</v>
      </c>
      <c r="M2811" s="339">
        <f t="shared" si="271"/>
        <v>606906</v>
      </c>
      <c r="N2811" s="339">
        <f t="shared" si="271"/>
        <v>0</v>
      </c>
      <c r="O2811" s="303"/>
      <c r="P2811" s="214">
        <v>2425</v>
      </c>
      <c r="Q2811" s="215">
        <v>52</v>
      </c>
      <c r="R2811" s="216" t="s">
        <v>2618</v>
      </c>
      <c r="S2811" s="217"/>
      <c r="T2811" s="218">
        <v>0</v>
      </c>
      <c r="U2811" s="218">
        <v>168478.67</v>
      </c>
      <c r="V2811" s="218">
        <v>296422.65000000002</v>
      </c>
      <c r="W2811" s="219">
        <v>0</v>
      </c>
    </row>
    <row r="2812" spans="1:23" s="46" customFormat="1" ht="15" customHeight="1">
      <c r="A2812" s="5"/>
      <c r="B2812" s="5"/>
      <c r="C2812" s="3">
        <v>52</v>
      </c>
      <c r="D2812" s="47"/>
      <c r="E2812" s="47"/>
      <c r="F2812" s="47"/>
      <c r="G2812" s="56"/>
      <c r="H2812" s="56"/>
      <c r="I2812" s="56"/>
      <c r="J2812" s="56"/>
      <c r="K2812" s="56"/>
      <c r="L2812" s="56"/>
      <c r="M2812" s="56"/>
      <c r="N2812" s="56"/>
      <c r="O2812" s="289"/>
      <c r="P2812" s="221"/>
      <c r="Q2812" s="221"/>
      <c r="R2812" s="221"/>
      <c r="S2812" s="221"/>
      <c r="T2812" s="221"/>
      <c r="U2812" s="221"/>
      <c r="V2812" s="221"/>
      <c r="W2812" s="221"/>
    </row>
    <row r="2813" spans="1:23" s="33" customFormat="1" ht="15" customHeight="1" thickBot="1">
      <c r="A2813" s="2"/>
      <c r="B2813" s="2" t="s">
        <v>2318</v>
      </c>
      <c r="C2813" s="3">
        <v>52</v>
      </c>
      <c r="D2813" s="335" t="str">
        <f>+D2843</f>
        <v>*** FUND 52 REVENUES OVER(UNDER) EXPENSES ***</v>
      </c>
      <c r="E2813" s="336"/>
      <c r="F2813" s="336">
        <f t="shared" ref="F2813:N2813" si="272">+F2843</f>
        <v>0</v>
      </c>
      <c r="G2813" s="336">
        <f t="shared" si="272"/>
        <v>-366815</v>
      </c>
      <c r="H2813" s="336">
        <f t="shared" si="272"/>
        <v>-94851</v>
      </c>
      <c r="I2813" s="336">
        <f t="shared" si="272"/>
        <v>54851</v>
      </c>
      <c r="J2813" s="336">
        <f t="shared" si="272"/>
        <v>-201678</v>
      </c>
      <c r="K2813" s="336">
        <f t="shared" si="272"/>
        <v>0</v>
      </c>
      <c r="L2813" s="336">
        <f t="shared" si="272"/>
        <v>-127855</v>
      </c>
      <c r="M2813" s="336">
        <f t="shared" si="272"/>
        <v>-106806</v>
      </c>
      <c r="N2813" s="336">
        <f t="shared" si="272"/>
        <v>0</v>
      </c>
      <c r="O2813" s="301"/>
      <c r="P2813" s="214">
        <v>2426</v>
      </c>
      <c r="Q2813" s="215">
        <v>52</v>
      </c>
      <c r="R2813" s="216" t="s">
        <v>2619</v>
      </c>
      <c r="S2813" s="217"/>
      <c r="T2813" s="218">
        <v>0</v>
      </c>
      <c r="U2813" s="218">
        <v>331521.33</v>
      </c>
      <c r="V2813" s="218">
        <v>203666.71</v>
      </c>
      <c r="W2813" s="219">
        <v>0</v>
      </c>
    </row>
    <row r="2814" spans="1:23" s="46" customFormat="1" ht="15" customHeight="1" thickTop="1">
      <c r="A2814" s="5"/>
      <c r="B2814" s="5"/>
      <c r="C2814" s="3">
        <v>52</v>
      </c>
      <c r="D2814" s="58"/>
      <c r="E2814" s="56"/>
      <c r="F2814" s="56"/>
      <c r="G2814" s="56"/>
      <c r="H2814" s="56"/>
      <c r="I2814" s="56"/>
      <c r="J2814" s="56"/>
      <c r="K2814" s="56"/>
      <c r="L2814" s="56"/>
      <c r="M2814" s="56"/>
      <c r="N2814" s="56"/>
      <c r="O2814" s="289"/>
      <c r="P2814" s="221"/>
      <c r="Q2814" s="221"/>
      <c r="R2814" s="221"/>
      <c r="S2814" s="221"/>
      <c r="T2814" s="221"/>
      <c r="U2814" s="221"/>
      <c r="V2814" s="221"/>
      <c r="W2814" s="221"/>
    </row>
    <row r="2815" spans="1:23" ht="15" customHeight="1">
      <c r="C2815" s="3">
        <v>52</v>
      </c>
      <c r="D2815" s="54" t="s">
        <v>2875</v>
      </c>
      <c r="E2815" s="54"/>
      <c r="F2815" s="192"/>
      <c r="G2815" s="55"/>
      <c r="H2815" s="55"/>
      <c r="I2815" s="55"/>
      <c r="J2815" s="55"/>
      <c r="K2815" s="55">
        <f>+K2799+K2805-K2811</f>
        <v>106806.34</v>
      </c>
      <c r="L2815" s="55"/>
      <c r="M2815" s="55">
        <f>+M2799+M2805-M2811</f>
        <v>0.33999999996740371</v>
      </c>
      <c r="N2815" s="55">
        <f>+N2799+N2805-N2811</f>
        <v>0.33999999996740371</v>
      </c>
      <c r="O2815" s="253"/>
      <c r="P2815" s="203"/>
      <c r="Q2815" s="204"/>
      <c r="R2815" s="205"/>
      <c r="S2815" s="206"/>
      <c r="T2815" s="207"/>
      <c r="U2815" s="207"/>
      <c r="V2815" s="208"/>
      <c r="W2815" s="212"/>
    </row>
    <row r="2816" spans="1:23" s="46" customFormat="1" ht="15" customHeight="1">
      <c r="A2816" s="195"/>
      <c r="B2816" s="195"/>
      <c r="C2816" s="3">
        <v>52</v>
      </c>
      <c r="D2816" s="58"/>
      <c r="E2816" s="56"/>
      <c r="F2816" s="56"/>
      <c r="G2816" s="56"/>
      <c r="H2816" s="56"/>
      <c r="I2816" s="56"/>
      <c r="J2816" s="56"/>
      <c r="K2816" s="56"/>
      <c r="L2816" s="56"/>
      <c r="M2816" s="26"/>
      <c r="N2816" s="26"/>
      <c r="O2816" s="289"/>
      <c r="P2816" s="221"/>
      <c r="Q2816" s="221"/>
      <c r="R2816" s="221"/>
      <c r="S2816" s="221"/>
      <c r="T2816" s="221"/>
      <c r="U2816" s="221"/>
      <c r="V2816" s="221"/>
      <c r="W2816" s="221"/>
    </row>
    <row r="2817" spans="1:23" ht="15" customHeight="1">
      <c r="C2817" s="3">
        <v>52</v>
      </c>
      <c r="D2817" s="15">
        <v>4130.0050000000001</v>
      </c>
      <c r="E2817" s="312" t="s">
        <v>1883</v>
      </c>
      <c r="G2817" s="26">
        <v>0</v>
      </c>
      <c r="H2817" s="26">
        <v>0</v>
      </c>
      <c r="I2817" s="26">
        <v>0</v>
      </c>
      <c r="J2817" s="26">
        <v>0</v>
      </c>
      <c r="K2817" s="26">
        <v>0</v>
      </c>
      <c r="L2817" s="26">
        <v>0</v>
      </c>
      <c r="M2817" s="26">
        <v>0</v>
      </c>
      <c r="N2817" s="26">
        <v>0</v>
      </c>
      <c r="O2817" s="285"/>
      <c r="P2817" s="214">
        <v>2427</v>
      </c>
      <c r="Q2817" s="215">
        <v>52</v>
      </c>
      <c r="R2817" s="216">
        <v>4130.0050000000001</v>
      </c>
      <c r="S2817" s="217" t="s">
        <v>1883</v>
      </c>
      <c r="T2817" s="218">
        <v>0</v>
      </c>
      <c r="U2817" s="218">
        <v>0</v>
      </c>
      <c r="V2817" s="218">
        <v>0</v>
      </c>
      <c r="W2817" s="219">
        <v>0</v>
      </c>
    </row>
    <row r="2818" spans="1:23" ht="15" customHeight="1">
      <c r="C2818" s="3">
        <v>52</v>
      </c>
      <c r="D2818" s="14" t="s">
        <v>2526</v>
      </c>
      <c r="E2818" s="312" t="s">
        <v>2527</v>
      </c>
      <c r="G2818" s="26">
        <v>0</v>
      </c>
      <c r="H2818" s="26">
        <v>0</v>
      </c>
      <c r="I2818" s="26">
        <v>0</v>
      </c>
      <c r="J2818" s="26">
        <v>0</v>
      </c>
      <c r="K2818" s="26">
        <v>0</v>
      </c>
      <c r="L2818" s="26">
        <v>0</v>
      </c>
      <c r="M2818" s="26">
        <v>500000</v>
      </c>
      <c r="N2818" s="26">
        <v>0</v>
      </c>
      <c r="O2818" s="285"/>
      <c r="P2818" s="214">
        <v>2428</v>
      </c>
      <c r="Q2818" s="215">
        <v>52</v>
      </c>
      <c r="R2818" s="216" t="s">
        <v>2526</v>
      </c>
      <c r="S2818" s="217" t="s">
        <v>2527</v>
      </c>
      <c r="T2818" s="218">
        <v>0</v>
      </c>
      <c r="U2818" s="218">
        <v>500000</v>
      </c>
      <c r="V2818" s="218">
        <v>500000</v>
      </c>
      <c r="W2818" s="219">
        <v>0</v>
      </c>
    </row>
    <row r="2819" spans="1:23" ht="15" customHeight="1">
      <c r="C2819" s="3">
        <v>52</v>
      </c>
      <c r="D2819" s="15">
        <v>4330</v>
      </c>
      <c r="E2819" s="312" t="s">
        <v>1669</v>
      </c>
      <c r="G2819" s="26">
        <v>15957</v>
      </c>
      <c r="H2819" s="26">
        <v>8125</v>
      </c>
      <c r="I2819" s="26">
        <v>7552</v>
      </c>
      <c r="J2819" s="26">
        <v>2170</v>
      </c>
      <c r="K2819" s="26">
        <v>0</v>
      </c>
      <c r="L2819" s="26">
        <v>89</v>
      </c>
      <c r="M2819" s="26">
        <v>100</v>
      </c>
      <c r="N2819" s="26">
        <v>0</v>
      </c>
      <c r="O2819" s="285"/>
      <c r="P2819" s="214">
        <v>2429</v>
      </c>
      <c r="Q2819" s="215">
        <v>52</v>
      </c>
      <c r="R2819" s="216">
        <v>4330</v>
      </c>
      <c r="S2819" s="217" t="s">
        <v>1669</v>
      </c>
      <c r="T2819" s="218">
        <v>0</v>
      </c>
      <c r="U2819" s="218">
        <v>0</v>
      </c>
      <c r="V2819" s="218">
        <v>89.36</v>
      </c>
      <c r="W2819" s="219">
        <v>0</v>
      </c>
    </row>
    <row r="2820" spans="1:23" ht="15" customHeight="1">
      <c r="C2820" s="3">
        <v>52</v>
      </c>
      <c r="D2820" s="15">
        <v>4890</v>
      </c>
      <c r="E2820" s="312" t="s">
        <v>66</v>
      </c>
      <c r="G2820" s="26">
        <v>0</v>
      </c>
      <c r="H2820" s="26">
        <v>0</v>
      </c>
      <c r="I2820" s="26">
        <v>17539</v>
      </c>
      <c r="J2820" s="26">
        <v>0</v>
      </c>
      <c r="K2820" s="26">
        <v>0</v>
      </c>
      <c r="L2820" s="26">
        <v>0</v>
      </c>
      <c r="M2820" s="26">
        <v>0</v>
      </c>
      <c r="N2820" s="26">
        <v>0</v>
      </c>
      <c r="O2820" s="285"/>
      <c r="P2820" s="214">
        <v>2430</v>
      </c>
      <c r="Q2820" s="215">
        <v>52</v>
      </c>
      <c r="R2820" s="216">
        <v>4890</v>
      </c>
      <c r="S2820" s="217" t="s">
        <v>66</v>
      </c>
      <c r="T2820" s="218">
        <v>0</v>
      </c>
      <c r="U2820" s="218">
        <v>0</v>
      </c>
      <c r="V2820" s="218">
        <v>0</v>
      </c>
      <c r="W2820" s="219">
        <v>0</v>
      </c>
    </row>
    <row r="2821" spans="1:23" ht="15" customHeight="1">
      <c r="C2821" s="3">
        <v>52</v>
      </c>
      <c r="D2821" s="15">
        <v>4890.1890000000003</v>
      </c>
      <c r="E2821" s="312" t="s">
        <v>1884</v>
      </c>
      <c r="G2821" s="26">
        <v>0</v>
      </c>
      <c r="H2821" s="26">
        <v>0</v>
      </c>
      <c r="I2821" s="26">
        <v>30888</v>
      </c>
      <c r="J2821" s="26">
        <v>0</v>
      </c>
      <c r="K2821" s="26">
        <v>0</v>
      </c>
      <c r="L2821" s="26">
        <v>0</v>
      </c>
      <c r="M2821" s="26">
        <v>0</v>
      </c>
      <c r="N2821" s="26">
        <v>0</v>
      </c>
      <c r="O2821" s="285"/>
      <c r="P2821" s="214">
        <v>2431</v>
      </c>
      <c r="Q2821" s="215">
        <v>52</v>
      </c>
      <c r="R2821" s="216">
        <v>4890.1890000000003</v>
      </c>
      <c r="S2821" s="217" t="s">
        <v>1884</v>
      </c>
      <c r="T2821" s="218">
        <v>0</v>
      </c>
      <c r="U2821" s="218">
        <v>0</v>
      </c>
      <c r="V2821" s="218">
        <v>0</v>
      </c>
      <c r="W2821" s="219">
        <v>0</v>
      </c>
    </row>
    <row r="2822" spans="1:23" ht="15" customHeight="1">
      <c r="C2822" s="3">
        <v>52</v>
      </c>
      <c r="E2822" s="14"/>
      <c r="G2822" s="26"/>
      <c r="H2822" s="26"/>
      <c r="I2822" s="26"/>
      <c r="J2822" s="26"/>
      <c r="K2822" s="26"/>
      <c r="L2822" s="26"/>
      <c r="M2822" s="26"/>
      <c r="N2822" s="26"/>
      <c r="P2822" s="222"/>
      <c r="Q2822" s="222"/>
      <c r="R2822" s="222"/>
      <c r="S2822" s="223"/>
      <c r="T2822" s="223"/>
      <c r="U2822" s="223"/>
      <c r="V2822" s="224"/>
      <c r="W2822" s="224"/>
    </row>
    <row r="2823" spans="1:23" s="27" customFormat="1" ht="15" customHeight="1" thickBot="1">
      <c r="A2823" s="2"/>
      <c r="B2823" s="2" t="s">
        <v>2317</v>
      </c>
      <c r="C2823" s="3">
        <v>52</v>
      </c>
      <c r="D2823" s="68" t="s">
        <v>2299</v>
      </c>
      <c r="E2823" s="68"/>
      <c r="F2823" s="320"/>
      <c r="G2823" s="69">
        <f>SUM(G2816:G2822)</f>
        <v>15957</v>
      </c>
      <c r="H2823" s="69">
        <f t="shared" ref="H2823:N2823" si="273">SUM(H2816:H2822)</f>
        <v>8125</v>
      </c>
      <c r="I2823" s="69">
        <f t="shared" si="273"/>
        <v>55979</v>
      </c>
      <c r="J2823" s="69">
        <f t="shared" si="273"/>
        <v>2170</v>
      </c>
      <c r="K2823" s="69">
        <f t="shared" si="273"/>
        <v>0</v>
      </c>
      <c r="L2823" s="69">
        <f t="shared" si="273"/>
        <v>89</v>
      </c>
      <c r="M2823" s="69">
        <f t="shared" si="273"/>
        <v>500100</v>
      </c>
      <c r="N2823" s="69">
        <f t="shared" si="273"/>
        <v>0</v>
      </c>
      <c r="O2823" s="281"/>
      <c r="P2823" s="214">
        <v>2432</v>
      </c>
      <c r="Q2823" s="215">
        <v>52</v>
      </c>
      <c r="R2823" s="216" t="s">
        <v>2620</v>
      </c>
      <c r="S2823" s="217"/>
      <c r="T2823" s="218">
        <v>0</v>
      </c>
      <c r="U2823" s="218">
        <v>500000</v>
      </c>
      <c r="V2823" s="218">
        <v>500089.36</v>
      </c>
      <c r="W2823" s="219">
        <v>0</v>
      </c>
    </row>
    <row r="2824" spans="1:23" s="46" customFormat="1" ht="15" customHeight="1" thickTop="1">
      <c r="A2824" s="5"/>
      <c r="B2824" s="5"/>
      <c r="C2824" s="3">
        <v>52</v>
      </c>
      <c r="D2824" s="47"/>
      <c r="E2824" s="47"/>
      <c r="F2824" s="191"/>
      <c r="G2824" s="56"/>
      <c r="H2824" s="56"/>
      <c r="I2824" s="56"/>
      <c r="J2824" s="56"/>
      <c r="K2824" s="56"/>
      <c r="L2824" s="56"/>
      <c r="M2824" s="56"/>
      <c r="N2824" s="56"/>
      <c r="O2824" s="289"/>
      <c r="P2824" s="221"/>
      <c r="Q2824" s="221"/>
      <c r="R2824" s="221"/>
      <c r="S2824" s="221"/>
      <c r="T2824" s="221"/>
      <c r="U2824" s="221"/>
      <c r="V2824" s="221"/>
      <c r="W2824" s="221"/>
    </row>
    <row r="2825" spans="1:23" ht="15" customHeight="1">
      <c r="C2825" s="3">
        <v>52</v>
      </c>
      <c r="D2825" s="47" t="s">
        <v>1975</v>
      </c>
      <c r="G2825" s="26"/>
      <c r="H2825" s="26"/>
      <c r="I2825" s="26"/>
      <c r="J2825" s="26"/>
      <c r="K2825" s="26"/>
      <c r="L2825" s="26"/>
      <c r="M2825" s="26"/>
      <c r="N2825" s="26"/>
      <c r="P2825" s="214">
        <v>2433</v>
      </c>
      <c r="Q2825" s="215">
        <v>52</v>
      </c>
      <c r="R2825" s="216" t="s">
        <v>245</v>
      </c>
      <c r="S2825" s="217"/>
      <c r="T2825" s="218"/>
      <c r="U2825" s="218"/>
      <c r="V2825" s="218"/>
      <c r="W2825" s="219"/>
    </row>
    <row r="2826" spans="1:23" ht="15" customHeight="1">
      <c r="C2826" s="3">
        <v>52</v>
      </c>
      <c r="G2826" s="26"/>
      <c r="H2826" s="26"/>
      <c r="I2826" s="26"/>
      <c r="J2826" s="26"/>
      <c r="K2826" s="26"/>
      <c r="L2826" s="26"/>
      <c r="M2826" s="26"/>
      <c r="N2826" s="26"/>
      <c r="P2826" s="214">
        <v>2434</v>
      </c>
      <c r="Q2826" s="215">
        <v>52</v>
      </c>
      <c r="R2826" s="216" t="s">
        <v>2628</v>
      </c>
      <c r="S2826" s="217"/>
      <c r="T2826" s="218"/>
      <c r="U2826" s="218"/>
      <c r="V2826" s="218"/>
      <c r="W2826" s="219"/>
    </row>
    <row r="2827" spans="1:23" ht="15" customHeight="1">
      <c r="C2827" s="3">
        <v>52</v>
      </c>
      <c r="D2827" s="15" t="s">
        <v>1885</v>
      </c>
      <c r="E2827" s="312" t="s">
        <v>1886</v>
      </c>
      <c r="G2827" s="26">
        <v>9378</v>
      </c>
      <c r="H2827" s="26">
        <v>0</v>
      </c>
      <c r="I2827" s="26">
        <v>0</v>
      </c>
      <c r="J2827" s="26">
        <v>0</v>
      </c>
      <c r="K2827" s="26">
        <v>0</v>
      </c>
      <c r="L2827" s="26">
        <v>0</v>
      </c>
      <c r="M2827" s="26">
        <v>0</v>
      </c>
      <c r="N2827" s="26">
        <v>0</v>
      </c>
      <c r="O2827" s="285"/>
      <c r="P2827" s="214">
        <v>2435</v>
      </c>
      <c r="Q2827" s="215">
        <v>52</v>
      </c>
      <c r="R2827" s="216" t="s">
        <v>1885</v>
      </c>
      <c r="S2827" s="217" t="s">
        <v>1886</v>
      </c>
      <c r="T2827" s="218">
        <v>0</v>
      </c>
      <c r="U2827" s="218">
        <v>0</v>
      </c>
      <c r="V2827" s="218">
        <v>0</v>
      </c>
      <c r="W2827" s="219">
        <v>0</v>
      </c>
    </row>
    <row r="2828" spans="1:23" ht="15" customHeight="1">
      <c r="C2828" s="3">
        <v>52</v>
      </c>
      <c r="D2828" s="15" t="s">
        <v>1887</v>
      </c>
      <c r="E2828" s="312" t="s">
        <v>1888</v>
      </c>
      <c r="G2828" s="26">
        <v>0</v>
      </c>
      <c r="H2828" s="26">
        <v>0</v>
      </c>
      <c r="I2828" s="26">
        <v>1128</v>
      </c>
      <c r="J2828" s="26">
        <v>0</v>
      </c>
      <c r="K2828" s="26">
        <v>0</v>
      </c>
      <c r="L2828" s="26">
        <v>0</v>
      </c>
      <c r="M2828" s="26">
        <v>0</v>
      </c>
      <c r="N2828" s="26">
        <v>0</v>
      </c>
      <c r="O2828" s="285"/>
      <c r="P2828" s="214">
        <v>2436</v>
      </c>
      <c r="Q2828" s="215">
        <v>52</v>
      </c>
      <c r="R2828" s="216" t="s">
        <v>1887</v>
      </c>
      <c r="S2828" s="217" t="s">
        <v>1888</v>
      </c>
      <c r="T2828" s="218">
        <v>0</v>
      </c>
      <c r="U2828" s="218">
        <v>0</v>
      </c>
      <c r="V2828" s="218">
        <v>0</v>
      </c>
      <c r="W2828" s="219">
        <v>0</v>
      </c>
    </row>
    <row r="2829" spans="1:23" ht="15" customHeight="1">
      <c r="C2829" s="3">
        <v>52</v>
      </c>
      <c r="D2829" s="15" t="s">
        <v>1889</v>
      </c>
      <c r="E2829" s="312" t="s">
        <v>1890</v>
      </c>
      <c r="G2829" s="26">
        <v>10676</v>
      </c>
      <c r="H2829" s="26">
        <v>0</v>
      </c>
      <c r="I2829" s="26">
        <v>0</v>
      </c>
      <c r="J2829" s="26">
        <v>0</v>
      </c>
      <c r="K2829" s="26">
        <v>0</v>
      </c>
      <c r="L2829" s="26">
        <v>0</v>
      </c>
      <c r="M2829" s="26">
        <v>0</v>
      </c>
      <c r="N2829" s="26">
        <v>0</v>
      </c>
      <c r="O2829" s="285"/>
      <c r="P2829" s="214">
        <v>2437</v>
      </c>
      <c r="Q2829" s="215">
        <v>52</v>
      </c>
      <c r="R2829" s="216" t="s">
        <v>1889</v>
      </c>
      <c r="S2829" s="217" t="s">
        <v>1890</v>
      </c>
      <c r="T2829" s="218">
        <v>0</v>
      </c>
      <c r="U2829" s="218">
        <v>0</v>
      </c>
      <c r="V2829" s="218">
        <v>0</v>
      </c>
      <c r="W2829" s="219">
        <v>0</v>
      </c>
    </row>
    <row r="2830" spans="1:23" ht="15" customHeight="1">
      <c r="C2830" s="3">
        <v>52</v>
      </c>
      <c r="D2830" s="15" t="s">
        <v>1891</v>
      </c>
      <c r="E2830" s="312" t="s">
        <v>1892</v>
      </c>
      <c r="G2830" s="26">
        <v>0</v>
      </c>
      <c r="H2830" s="26">
        <v>0</v>
      </c>
      <c r="I2830" s="26">
        <v>0</v>
      </c>
      <c r="J2830" s="26">
        <v>155400</v>
      </c>
      <c r="K2830" s="26">
        <v>0</v>
      </c>
      <c r="L2830" s="26">
        <v>1200</v>
      </c>
      <c r="M2830" s="26">
        <v>3900</v>
      </c>
      <c r="N2830" s="26">
        <v>0</v>
      </c>
      <c r="O2830" s="285"/>
      <c r="P2830" s="214">
        <v>2438</v>
      </c>
      <c r="Q2830" s="215">
        <v>52</v>
      </c>
      <c r="R2830" s="216" t="s">
        <v>1891</v>
      </c>
      <c r="S2830" s="217" t="s">
        <v>1892</v>
      </c>
      <c r="T2830" s="218">
        <v>0</v>
      </c>
      <c r="U2830" s="218">
        <v>2700</v>
      </c>
      <c r="V2830" s="218">
        <v>3900</v>
      </c>
      <c r="W2830" s="219">
        <v>0</v>
      </c>
    </row>
    <row r="2831" spans="1:23" ht="15" customHeight="1">
      <c r="C2831" s="3">
        <v>52</v>
      </c>
      <c r="D2831" s="15" t="s">
        <v>1674</v>
      </c>
      <c r="E2831" s="312" t="s">
        <v>1675</v>
      </c>
      <c r="G2831" s="26">
        <v>0</v>
      </c>
      <c r="H2831" s="26">
        <v>0</v>
      </c>
      <c r="I2831" s="26">
        <v>0</v>
      </c>
      <c r="J2831" s="26">
        <v>0</v>
      </c>
      <c r="K2831" s="26">
        <v>0</v>
      </c>
      <c r="L2831" s="26">
        <v>0</v>
      </c>
      <c r="M2831" s="26">
        <v>0</v>
      </c>
      <c r="N2831" s="26">
        <v>0</v>
      </c>
      <c r="O2831" s="285"/>
      <c r="P2831" s="214">
        <v>2439</v>
      </c>
      <c r="Q2831" s="215">
        <v>52</v>
      </c>
      <c r="R2831" s="216" t="s">
        <v>1674</v>
      </c>
      <c r="S2831" s="217" t="s">
        <v>1675</v>
      </c>
      <c r="T2831" s="218">
        <v>0</v>
      </c>
      <c r="U2831" s="218">
        <v>0</v>
      </c>
      <c r="V2831" s="218">
        <v>0</v>
      </c>
      <c r="W2831" s="219">
        <v>0</v>
      </c>
    </row>
    <row r="2832" spans="1:23" ht="15" customHeight="1">
      <c r="C2832" s="3">
        <v>52</v>
      </c>
      <c r="D2832" s="15" t="s">
        <v>1893</v>
      </c>
      <c r="E2832" s="312" t="s">
        <v>1894</v>
      </c>
      <c r="G2832" s="26">
        <v>362718</v>
      </c>
      <c r="H2832" s="26">
        <v>102976</v>
      </c>
      <c r="I2832" s="26">
        <v>0</v>
      </c>
      <c r="J2832" s="26">
        <v>0</v>
      </c>
      <c r="K2832" s="26">
        <v>0</v>
      </c>
      <c r="L2832" s="26">
        <v>0</v>
      </c>
      <c r="M2832" s="26">
        <v>0</v>
      </c>
      <c r="N2832" s="26">
        <v>0</v>
      </c>
      <c r="O2832" s="285"/>
      <c r="P2832" s="214">
        <v>2440</v>
      </c>
      <c r="Q2832" s="215">
        <v>52</v>
      </c>
      <c r="R2832" s="216" t="s">
        <v>1893</v>
      </c>
      <c r="S2832" s="217" t="s">
        <v>1894</v>
      </c>
      <c r="T2832" s="218">
        <v>0</v>
      </c>
      <c r="U2832" s="218">
        <v>0</v>
      </c>
      <c r="V2832" s="218">
        <v>0</v>
      </c>
      <c r="W2832" s="219">
        <v>0</v>
      </c>
    </row>
    <row r="2833" spans="1:23" ht="15" customHeight="1">
      <c r="C2833" s="3">
        <v>52</v>
      </c>
      <c r="D2833" s="15" t="s">
        <v>1895</v>
      </c>
      <c r="E2833" s="312" t="s">
        <v>1896</v>
      </c>
      <c r="G2833" s="26">
        <v>0</v>
      </c>
      <c r="H2833" s="26">
        <v>0</v>
      </c>
      <c r="I2833" s="26">
        <v>0</v>
      </c>
      <c r="J2833" s="26">
        <v>48448</v>
      </c>
      <c r="K2833" s="26">
        <v>0</v>
      </c>
      <c r="L2833" s="26">
        <v>126744</v>
      </c>
      <c r="M2833" s="26">
        <f>553201+49805</f>
        <v>603006</v>
      </c>
      <c r="N2833" s="26">
        <v>0</v>
      </c>
      <c r="O2833" s="285"/>
      <c r="P2833" s="214">
        <v>2441</v>
      </c>
      <c r="Q2833" s="215">
        <v>52</v>
      </c>
      <c r="R2833" s="216" t="s">
        <v>1895</v>
      </c>
      <c r="S2833" s="217" t="s">
        <v>1896</v>
      </c>
      <c r="T2833" s="218">
        <v>0</v>
      </c>
      <c r="U2833" s="218">
        <v>165778.67000000001</v>
      </c>
      <c r="V2833" s="218">
        <v>292522.65000000002</v>
      </c>
      <c r="W2833" s="219">
        <v>0</v>
      </c>
    </row>
    <row r="2834" spans="1:23" ht="15" customHeight="1">
      <c r="C2834" s="3">
        <v>52</v>
      </c>
      <c r="D2834" s="15" t="s">
        <v>1897</v>
      </c>
      <c r="E2834" s="312" t="s">
        <v>1898</v>
      </c>
      <c r="G2834" s="26">
        <v>0</v>
      </c>
      <c r="H2834" s="26">
        <v>0</v>
      </c>
      <c r="I2834" s="26">
        <v>0</v>
      </c>
      <c r="J2834" s="26">
        <v>0</v>
      </c>
      <c r="K2834" s="26">
        <v>0</v>
      </c>
      <c r="L2834" s="26">
        <v>0</v>
      </c>
      <c r="M2834" s="26">
        <v>0</v>
      </c>
      <c r="N2834" s="26">
        <v>0</v>
      </c>
      <c r="O2834" s="285"/>
      <c r="P2834" s="214">
        <v>2442</v>
      </c>
      <c r="Q2834" s="215">
        <v>52</v>
      </c>
      <c r="R2834" s="216" t="s">
        <v>1897</v>
      </c>
      <c r="S2834" s="217" t="s">
        <v>1898</v>
      </c>
      <c r="T2834" s="218">
        <v>0</v>
      </c>
      <c r="U2834" s="218">
        <v>0</v>
      </c>
      <c r="V2834" s="218">
        <v>0</v>
      </c>
      <c r="W2834" s="219">
        <v>0</v>
      </c>
    </row>
    <row r="2835" spans="1:23" ht="15" customHeight="1">
      <c r="C2835" s="3">
        <v>52</v>
      </c>
      <c r="D2835" s="15" t="s">
        <v>1899</v>
      </c>
      <c r="E2835" s="312" t="s">
        <v>1900</v>
      </c>
      <c r="G2835" s="26">
        <v>0</v>
      </c>
      <c r="H2835" s="26">
        <v>0</v>
      </c>
      <c r="I2835" s="26">
        <v>0</v>
      </c>
      <c r="J2835" s="26">
        <v>0</v>
      </c>
      <c r="K2835" s="26">
        <v>0</v>
      </c>
      <c r="L2835" s="26">
        <v>0</v>
      </c>
      <c r="M2835" s="26">
        <v>0</v>
      </c>
      <c r="N2835" s="26">
        <v>0</v>
      </c>
      <c r="O2835" s="285"/>
      <c r="P2835" s="214">
        <v>2443</v>
      </c>
      <c r="Q2835" s="215">
        <v>52</v>
      </c>
      <c r="R2835" s="216" t="s">
        <v>1899</v>
      </c>
      <c r="S2835" s="217" t="s">
        <v>1900</v>
      </c>
      <c r="T2835" s="218">
        <v>0</v>
      </c>
      <c r="U2835" s="218">
        <v>0</v>
      </c>
      <c r="V2835" s="218">
        <v>0</v>
      </c>
      <c r="W2835" s="219">
        <v>0</v>
      </c>
    </row>
    <row r="2836" spans="1:23" ht="15" customHeight="1">
      <c r="C2836" s="3">
        <v>52</v>
      </c>
      <c r="G2836" s="26"/>
      <c r="H2836" s="26"/>
      <c r="I2836" s="26"/>
      <c r="J2836" s="26"/>
      <c r="K2836" s="26"/>
      <c r="L2836" s="26"/>
      <c r="M2836" s="26"/>
      <c r="N2836" s="26"/>
      <c r="P2836" s="214">
        <v>2444</v>
      </c>
      <c r="Q2836" s="215">
        <v>52</v>
      </c>
      <c r="R2836" s="216" t="s">
        <v>2623</v>
      </c>
      <c r="S2836" s="217"/>
      <c r="T2836" s="218"/>
      <c r="U2836" s="218"/>
      <c r="V2836" s="218"/>
      <c r="W2836" s="219"/>
    </row>
    <row r="2837" spans="1:23" s="24" customFormat="1" ht="15" customHeight="1">
      <c r="A2837" s="2" t="s">
        <v>245</v>
      </c>
      <c r="B2837" s="2" t="s">
        <v>2317</v>
      </c>
      <c r="C2837" s="3">
        <v>52</v>
      </c>
      <c r="D2837" s="323" t="s">
        <v>1971</v>
      </c>
      <c r="E2837" s="323"/>
      <c r="F2837" s="324"/>
      <c r="G2837" s="325">
        <f>SUM(G2825:G2836)</f>
        <v>382772</v>
      </c>
      <c r="H2837" s="325">
        <f t="shared" ref="H2837:N2837" si="274">SUM(H2825:H2836)</f>
        <v>102976</v>
      </c>
      <c r="I2837" s="325">
        <f t="shared" si="274"/>
        <v>1128</v>
      </c>
      <c r="J2837" s="325">
        <f t="shared" si="274"/>
        <v>203848</v>
      </c>
      <c r="K2837" s="325">
        <f t="shared" si="274"/>
        <v>0</v>
      </c>
      <c r="L2837" s="325">
        <f t="shared" si="274"/>
        <v>127944</v>
      </c>
      <c r="M2837" s="325">
        <f t="shared" si="274"/>
        <v>606906</v>
      </c>
      <c r="N2837" s="325">
        <f t="shared" si="274"/>
        <v>0</v>
      </c>
      <c r="O2837" s="292"/>
      <c r="P2837" s="214">
        <v>2445</v>
      </c>
      <c r="Q2837" s="215">
        <v>52</v>
      </c>
      <c r="R2837" s="216" t="s">
        <v>245</v>
      </c>
      <c r="S2837" s="217"/>
      <c r="T2837" s="218">
        <v>0</v>
      </c>
      <c r="U2837" s="218">
        <v>168478.67</v>
      </c>
      <c r="V2837" s="218">
        <v>296422.65000000002</v>
      </c>
      <c r="W2837" s="219">
        <v>0</v>
      </c>
    </row>
    <row r="2838" spans="1:23" ht="15" customHeight="1">
      <c r="C2838" s="3">
        <v>52</v>
      </c>
      <c r="G2838" s="26"/>
      <c r="H2838" s="26"/>
      <c r="I2838" s="26"/>
      <c r="J2838" s="26"/>
      <c r="K2838" s="26"/>
      <c r="L2838" s="26"/>
      <c r="M2838" s="26"/>
      <c r="N2838" s="26"/>
      <c r="P2838" s="214">
        <v>2446</v>
      </c>
      <c r="Q2838" s="215">
        <v>52</v>
      </c>
      <c r="R2838" s="216" t="s">
        <v>2623</v>
      </c>
      <c r="S2838" s="217"/>
      <c r="T2838" s="218"/>
      <c r="U2838" s="218"/>
      <c r="V2838" s="218"/>
      <c r="W2838" s="219"/>
    </row>
    <row r="2839" spans="1:23" ht="15" customHeight="1">
      <c r="B2839" s="2" t="s">
        <v>2318</v>
      </c>
      <c r="C2839" s="3">
        <v>52</v>
      </c>
      <c r="D2839" s="47" t="s">
        <v>1667</v>
      </c>
      <c r="G2839" s="26">
        <f>SUM(G2837:G2838)</f>
        <v>382772</v>
      </c>
      <c r="H2839" s="26">
        <f t="shared" ref="H2839:N2839" si="275">SUM(H2837:H2838)</f>
        <v>102976</v>
      </c>
      <c r="I2839" s="26">
        <f t="shared" si="275"/>
        <v>1128</v>
      </c>
      <c r="J2839" s="26">
        <f t="shared" si="275"/>
        <v>203848</v>
      </c>
      <c r="K2839" s="26">
        <f t="shared" si="275"/>
        <v>0</v>
      </c>
      <c r="L2839" s="26">
        <f t="shared" si="275"/>
        <v>127944</v>
      </c>
      <c r="M2839" s="26">
        <f t="shared" si="275"/>
        <v>606906</v>
      </c>
      <c r="N2839" s="26">
        <f t="shared" si="275"/>
        <v>0</v>
      </c>
      <c r="P2839" s="214">
        <v>2447</v>
      </c>
      <c r="Q2839" s="215">
        <v>52</v>
      </c>
      <c r="R2839" s="216" t="s">
        <v>1667</v>
      </c>
      <c r="S2839" s="217"/>
      <c r="T2839" s="218">
        <v>0</v>
      </c>
      <c r="U2839" s="218">
        <v>168478.67</v>
      </c>
      <c r="V2839" s="218">
        <v>296422.65000000002</v>
      </c>
      <c r="W2839" s="219">
        <v>0</v>
      </c>
    </row>
    <row r="2840" spans="1:23" ht="15" customHeight="1">
      <c r="C2840" s="3">
        <v>52</v>
      </c>
      <c r="D2840" s="47"/>
      <c r="G2840" s="26"/>
      <c r="H2840" s="26"/>
      <c r="I2840" s="26"/>
      <c r="J2840" s="26"/>
      <c r="K2840" s="26"/>
      <c r="L2840" s="26"/>
      <c r="M2840" s="26"/>
      <c r="N2840" s="26"/>
      <c r="P2840" s="222"/>
      <c r="Q2840" s="222"/>
      <c r="R2840" s="222"/>
      <c r="S2840" s="223"/>
      <c r="T2840" s="223"/>
      <c r="U2840" s="223"/>
      <c r="V2840" s="224"/>
      <c r="W2840" s="224"/>
    </row>
    <row r="2841" spans="1:23" s="31" customFormat="1" ht="15" customHeight="1">
      <c r="A2841" s="2"/>
      <c r="B2841" s="2" t="s">
        <v>2317</v>
      </c>
      <c r="C2841" s="3">
        <v>52</v>
      </c>
      <c r="D2841" s="54" t="s">
        <v>2275</v>
      </c>
      <c r="E2841" s="54"/>
      <c r="F2841" s="192"/>
      <c r="G2841" s="339">
        <f>SUM(G2839:G2840)</f>
        <v>382772</v>
      </c>
      <c r="H2841" s="339">
        <f t="shared" ref="H2841:N2841" si="276">SUM(H2839:H2840)</f>
        <v>102976</v>
      </c>
      <c r="I2841" s="339">
        <f t="shared" si="276"/>
        <v>1128</v>
      </c>
      <c r="J2841" s="339">
        <f t="shared" si="276"/>
        <v>203848</v>
      </c>
      <c r="K2841" s="339">
        <f t="shared" si="276"/>
        <v>0</v>
      </c>
      <c r="L2841" s="339">
        <f t="shared" si="276"/>
        <v>127944</v>
      </c>
      <c r="M2841" s="339">
        <f t="shared" si="276"/>
        <v>606906</v>
      </c>
      <c r="N2841" s="339">
        <f t="shared" si="276"/>
        <v>0</v>
      </c>
      <c r="O2841" s="305"/>
      <c r="P2841" s="214">
        <v>2448</v>
      </c>
      <c r="Q2841" s="215">
        <v>52</v>
      </c>
      <c r="R2841" s="216" t="s">
        <v>2618</v>
      </c>
      <c r="S2841" s="217"/>
      <c r="T2841" s="218">
        <v>0</v>
      </c>
      <c r="U2841" s="218">
        <v>168478.67</v>
      </c>
      <c r="V2841" s="218">
        <v>296422.65000000002</v>
      </c>
      <c r="W2841" s="219">
        <v>0</v>
      </c>
    </row>
    <row r="2842" spans="1:23" s="46" customFormat="1" ht="15" customHeight="1">
      <c r="A2842" s="5"/>
      <c r="B2842" s="5"/>
      <c r="C2842" s="3">
        <v>52</v>
      </c>
      <c r="D2842" s="47"/>
      <c r="E2842" s="47"/>
      <c r="F2842" s="191"/>
      <c r="G2842" s="56"/>
      <c r="H2842" s="56"/>
      <c r="I2842" s="56"/>
      <c r="J2842" s="56"/>
      <c r="K2842" s="56"/>
      <c r="L2842" s="56"/>
      <c r="M2842" s="56"/>
      <c r="N2842" s="56"/>
      <c r="O2842" s="289"/>
      <c r="P2842" s="221"/>
      <c r="Q2842" s="221"/>
      <c r="R2842" s="221"/>
      <c r="S2842" s="221"/>
      <c r="T2842" s="221"/>
      <c r="U2842" s="221"/>
      <c r="V2842" s="221"/>
      <c r="W2842" s="221"/>
    </row>
    <row r="2843" spans="1:23" s="33" customFormat="1" ht="15" customHeight="1" thickBot="1">
      <c r="A2843" s="2"/>
      <c r="B2843" s="2" t="s">
        <v>2317</v>
      </c>
      <c r="C2843" s="3">
        <v>52</v>
      </c>
      <c r="D2843" s="329" t="s">
        <v>2250</v>
      </c>
      <c r="E2843" s="329"/>
      <c r="F2843" s="330"/>
      <c r="G2843" s="336">
        <f t="shared" ref="G2843:N2843" si="277">+G2823-G2841</f>
        <v>-366815</v>
      </c>
      <c r="H2843" s="336">
        <f t="shared" si="277"/>
        <v>-94851</v>
      </c>
      <c r="I2843" s="336">
        <f t="shared" si="277"/>
        <v>54851</v>
      </c>
      <c r="J2843" s="336">
        <f t="shared" si="277"/>
        <v>-201678</v>
      </c>
      <c r="K2843" s="336">
        <f t="shared" si="277"/>
        <v>0</v>
      </c>
      <c r="L2843" s="336">
        <f t="shared" si="277"/>
        <v>-127855</v>
      </c>
      <c r="M2843" s="336">
        <f t="shared" si="277"/>
        <v>-106806</v>
      </c>
      <c r="N2843" s="336">
        <f t="shared" si="277"/>
        <v>0</v>
      </c>
      <c r="O2843" s="301"/>
      <c r="P2843" s="214">
        <v>2449</v>
      </c>
      <c r="Q2843" s="215">
        <v>52</v>
      </c>
      <c r="R2843" s="216" t="s">
        <v>2619</v>
      </c>
      <c r="S2843" s="217"/>
      <c r="T2843" s="218">
        <v>0</v>
      </c>
      <c r="U2843" s="218">
        <v>331521.33</v>
      </c>
      <c r="V2843" s="218">
        <v>203666.71</v>
      </c>
      <c r="W2843" s="219">
        <v>0</v>
      </c>
    </row>
    <row r="2844" spans="1:23" s="46" customFormat="1" ht="15" customHeight="1" thickTop="1">
      <c r="A2844" s="5"/>
      <c r="B2844" s="5"/>
      <c r="C2844" s="3">
        <v>52</v>
      </c>
      <c r="D2844" s="47"/>
      <c r="E2844" s="47"/>
      <c r="F2844" s="191"/>
      <c r="G2844" s="56"/>
      <c r="H2844" s="56"/>
      <c r="I2844" s="56"/>
      <c r="J2844" s="56"/>
      <c r="K2844" s="56"/>
      <c r="L2844" s="56"/>
      <c r="M2844" s="56"/>
      <c r="N2844" s="56"/>
      <c r="O2844" s="289"/>
      <c r="P2844" s="221"/>
      <c r="Q2844" s="221"/>
      <c r="R2844" s="221"/>
      <c r="S2844" s="221"/>
      <c r="T2844" s="221"/>
      <c r="U2844" s="221"/>
      <c r="V2844" s="221"/>
      <c r="W2844" s="221"/>
    </row>
    <row r="2845" spans="1:23" ht="15" customHeight="1">
      <c r="C2845" s="3">
        <v>52</v>
      </c>
      <c r="D2845" s="54" t="s">
        <v>2875</v>
      </c>
      <c r="E2845" s="54"/>
      <c r="F2845" s="192"/>
      <c r="G2845" s="55"/>
      <c r="H2845" s="55"/>
      <c r="I2845" s="55"/>
      <c r="J2845" s="55"/>
      <c r="K2845" s="55">
        <f>+K2815</f>
        <v>106806.34</v>
      </c>
      <c r="L2845" s="55"/>
      <c r="M2845" s="55">
        <f>+M2815</f>
        <v>0.33999999996740371</v>
      </c>
      <c r="N2845" s="55">
        <f>+N2815</f>
        <v>0.33999999996740371</v>
      </c>
      <c r="O2845" s="253"/>
      <c r="P2845" s="203"/>
      <c r="Q2845" s="204"/>
      <c r="R2845" s="205"/>
      <c r="S2845" s="206"/>
      <c r="T2845" s="207"/>
      <c r="U2845" s="207"/>
      <c r="V2845" s="208"/>
      <c r="W2845" s="212"/>
    </row>
    <row r="2846" spans="1:23" s="46" customFormat="1" ht="15" customHeight="1">
      <c r="A2846" s="195"/>
      <c r="B2846" s="195"/>
      <c r="C2846" s="3">
        <v>52</v>
      </c>
      <c r="D2846" s="47"/>
      <c r="E2846" s="47"/>
      <c r="F2846" s="191"/>
      <c r="G2846" s="56"/>
      <c r="H2846" s="56"/>
      <c r="I2846" s="56"/>
      <c r="J2846" s="56"/>
      <c r="K2846" s="56"/>
      <c r="L2846" s="56"/>
      <c r="M2846" s="56"/>
      <c r="N2846" s="56"/>
      <c r="O2846" s="289"/>
      <c r="P2846" s="221"/>
      <c r="Q2846" s="221"/>
      <c r="R2846" s="221"/>
      <c r="S2846" s="221"/>
      <c r="T2846" s="221"/>
      <c r="U2846" s="221"/>
      <c r="V2846" s="221"/>
      <c r="W2846" s="221"/>
    </row>
    <row r="2847" spans="1:23" s="35" customFormat="1" ht="15" customHeight="1">
      <c r="A2847" s="2"/>
      <c r="B2847" s="2"/>
      <c r="C2847" s="3">
        <v>52</v>
      </c>
      <c r="D2847" s="47" t="s">
        <v>1976</v>
      </c>
      <c r="E2847" s="47"/>
      <c r="F2847" s="191"/>
      <c r="G2847" s="48"/>
      <c r="H2847" s="48"/>
      <c r="I2847" s="48"/>
      <c r="J2847" s="48"/>
      <c r="K2847" s="48"/>
      <c r="L2847" s="48"/>
      <c r="M2847" s="48"/>
      <c r="N2847" s="48"/>
      <c r="O2847" s="276"/>
      <c r="P2847" s="214">
        <v>2450</v>
      </c>
      <c r="Q2847" s="215">
        <v>52</v>
      </c>
      <c r="R2847" s="216" t="s">
        <v>2630</v>
      </c>
      <c r="S2847" s="217"/>
      <c r="T2847" s="218"/>
      <c r="U2847" s="218"/>
      <c r="V2847" s="218"/>
      <c r="W2847" s="219"/>
    </row>
    <row r="2848" spans="1:23" s="35" customFormat="1" ht="15" customHeight="1">
      <c r="A2848" s="2"/>
      <c r="B2848" s="2"/>
      <c r="C2848" s="3"/>
      <c r="D2848" s="47"/>
      <c r="E2848" s="47"/>
      <c r="F2848" s="191"/>
      <c r="G2848" s="48"/>
      <c r="H2848" s="48"/>
      <c r="I2848" s="48"/>
      <c r="J2848" s="48"/>
      <c r="K2848" s="48"/>
      <c r="L2848" s="48"/>
      <c r="M2848" s="48"/>
      <c r="N2848" s="48"/>
      <c r="O2848" s="276"/>
    </row>
    <row r="2849" spans="1:23" s="35" customFormat="1" ht="15" customHeight="1">
      <c r="A2849" s="2"/>
      <c r="B2849" s="2"/>
      <c r="C2849" s="3"/>
      <c r="D2849" s="47"/>
      <c r="E2849" s="47"/>
      <c r="F2849" s="191"/>
      <c r="G2849" s="48"/>
      <c r="H2849" s="48"/>
      <c r="I2849" s="48"/>
      <c r="J2849" s="48"/>
      <c r="K2849" s="48"/>
      <c r="L2849" s="48"/>
      <c r="M2849" s="48"/>
      <c r="N2849" s="48"/>
      <c r="O2849" s="276"/>
    </row>
    <row r="2850" spans="1:23" s="35" customFormat="1" ht="15" customHeight="1">
      <c r="A2850" s="2"/>
      <c r="B2850" s="2"/>
      <c r="C2850" s="3"/>
      <c r="D2850" s="47"/>
      <c r="E2850" s="47"/>
      <c r="F2850" s="191"/>
      <c r="G2850" s="48"/>
      <c r="H2850" s="48"/>
      <c r="I2850" s="48"/>
      <c r="J2850" s="48"/>
      <c r="K2850" s="48"/>
      <c r="L2850" s="48"/>
      <c r="M2850" s="48"/>
      <c r="N2850" s="48"/>
      <c r="O2850" s="276"/>
    </row>
    <row r="2851" spans="1:23" s="35" customFormat="1" ht="15" customHeight="1">
      <c r="A2851" s="2"/>
      <c r="B2851" s="2"/>
      <c r="C2851" s="3">
        <v>55</v>
      </c>
      <c r="D2851" s="47" t="s">
        <v>2388</v>
      </c>
      <c r="E2851" s="47"/>
      <c r="F2851" s="191"/>
      <c r="G2851" s="48"/>
      <c r="H2851" s="48"/>
      <c r="I2851" s="48"/>
      <c r="J2851" s="48"/>
      <c r="K2851" s="48"/>
      <c r="L2851" s="48"/>
      <c r="M2851" s="48"/>
      <c r="N2851" s="48"/>
      <c r="O2851" s="276"/>
    </row>
    <row r="2852" spans="1:23" s="35" customFormat="1" ht="15" customHeight="1">
      <c r="A2852" s="2"/>
      <c r="B2852" s="2"/>
      <c r="C2852" s="3">
        <v>55</v>
      </c>
      <c r="D2852" s="47"/>
      <c r="E2852" s="47"/>
      <c r="F2852" s="191"/>
      <c r="G2852" s="48"/>
      <c r="H2852" s="48"/>
      <c r="I2852" s="48"/>
      <c r="J2852" s="48"/>
      <c r="K2852" s="48"/>
      <c r="L2852" s="48"/>
      <c r="M2852" s="48"/>
      <c r="N2852" s="48"/>
      <c r="O2852" s="276"/>
    </row>
    <row r="2853" spans="1:23" ht="15" customHeight="1">
      <c r="C2853" s="3">
        <v>55</v>
      </c>
      <c r="D2853" s="54" t="s">
        <v>2874</v>
      </c>
      <c r="E2853" s="54"/>
      <c r="F2853" s="192"/>
      <c r="G2853" s="55"/>
      <c r="H2853" s="55"/>
      <c r="I2853" s="55"/>
      <c r="J2853" s="55">
        <v>0</v>
      </c>
      <c r="K2853" s="55">
        <v>0</v>
      </c>
      <c r="L2853" s="55"/>
      <c r="M2853" s="55">
        <v>0</v>
      </c>
      <c r="N2853" s="55">
        <f>+M2867</f>
        <v>0</v>
      </c>
      <c r="O2853" s="278"/>
      <c r="P2853" s="203"/>
      <c r="Q2853" s="204"/>
      <c r="R2853" s="205"/>
      <c r="S2853" s="206"/>
      <c r="T2853" s="207"/>
      <c r="U2853" s="207"/>
      <c r="V2853" s="208"/>
      <c r="W2853" s="212"/>
    </row>
    <row r="2854" spans="1:23" s="35" customFormat="1" ht="15" customHeight="1">
      <c r="A2854" s="2"/>
      <c r="B2854" s="2"/>
      <c r="C2854" s="3">
        <v>55</v>
      </c>
      <c r="D2854" s="47"/>
      <c r="E2854" s="47"/>
      <c r="F2854" s="191"/>
      <c r="G2854" s="48"/>
      <c r="H2854" s="48"/>
      <c r="I2854" s="48"/>
      <c r="J2854" s="48"/>
      <c r="K2854" s="48"/>
      <c r="L2854" s="48"/>
      <c r="M2854" s="48"/>
      <c r="N2854" s="48"/>
      <c r="O2854" s="276"/>
    </row>
    <row r="2855" spans="1:23" s="35" customFormat="1" ht="15" customHeight="1">
      <c r="A2855" s="2"/>
      <c r="B2855" s="2"/>
      <c r="C2855" s="3">
        <v>55</v>
      </c>
      <c r="D2855" s="47" t="s">
        <v>2319</v>
      </c>
      <c r="E2855" s="47"/>
      <c r="F2855" s="191"/>
      <c r="G2855" s="48"/>
      <c r="H2855" s="48"/>
      <c r="I2855" s="48"/>
      <c r="J2855" s="48"/>
      <c r="K2855" s="48"/>
      <c r="L2855" s="48"/>
      <c r="M2855" s="48"/>
      <c r="N2855" s="48"/>
      <c r="O2855" s="276"/>
    </row>
    <row r="2856" spans="1:23" ht="15" customHeight="1">
      <c r="C2856" s="3">
        <v>55</v>
      </c>
      <c r="D2856" s="14"/>
      <c r="G2856" s="26"/>
      <c r="H2856" s="26"/>
      <c r="I2856" s="26"/>
      <c r="J2856" s="26"/>
      <c r="K2856" s="26"/>
      <c r="L2856" s="26"/>
      <c r="M2856" s="26"/>
      <c r="N2856" s="26"/>
    </row>
    <row r="2857" spans="1:23" ht="15" customHeight="1">
      <c r="B2857" s="2" t="s">
        <v>2318</v>
      </c>
      <c r="C2857" s="3">
        <v>55</v>
      </c>
      <c r="D2857" s="54" t="s">
        <v>2320</v>
      </c>
      <c r="E2857" s="54"/>
      <c r="F2857" s="192"/>
      <c r="G2857" s="55">
        <f>+G2859</f>
        <v>0</v>
      </c>
      <c r="H2857" s="55">
        <f t="shared" ref="H2857:N2857" si="278">+H2859</f>
        <v>0</v>
      </c>
      <c r="I2857" s="55">
        <f t="shared" si="278"/>
        <v>0</v>
      </c>
      <c r="J2857" s="55">
        <f t="shared" si="278"/>
        <v>0</v>
      </c>
      <c r="K2857" s="55">
        <f t="shared" si="278"/>
        <v>0</v>
      </c>
      <c r="L2857" s="55">
        <f t="shared" si="278"/>
        <v>0</v>
      </c>
      <c r="M2857" s="55">
        <f t="shared" si="278"/>
        <v>0</v>
      </c>
      <c r="N2857" s="55">
        <f t="shared" si="278"/>
        <v>0</v>
      </c>
      <c r="O2857" s="279"/>
    </row>
    <row r="2858" spans="1:23" s="5" customFormat="1" ht="15" customHeight="1">
      <c r="A2858" s="2"/>
      <c r="C2858" s="3">
        <v>55</v>
      </c>
      <c r="D2858" s="54"/>
      <c r="E2858" s="54"/>
      <c r="F2858" s="192"/>
      <c r="G2858" s="55"/>
      <c r="H2858" s="55"/>
      <c r="I2858" s="55"/>
      <c r="J2858" s="55"/>
      <c r="K2858" s="55"/>
      <c r="L2858" s="55"/>
      <c r="M2858" s="55"/>
      <c r="N2858" s="55"/>
      <c r="O2858" s="302"/>
    </row>
    <row r="2859" spans="1:23" ht="15" customHeight="1" thickBot="1">
      <c r="B2859" s="2" t="s">
        <v>2318</v>
      </c>
      <c r="C2859" s="3">
        <v>55</v>
      </c>
      <c r="D2859" s="68" t="str">
        <f>+D2871</f>
        <v>*** TOTAL FUND 55 REVENUES ***</v>
      </c>
      <c r="E2859" s="68"/>
      <c r="F2859" s="68">
        <f>+F2871</f>
        <v>0</v>
      </c>
      <c r="G2859" s="69">
        <f>+G2871</f>
        <v>0</v>
      </c>
      <c r="H2859" s="69">
        <f t="shared" ref="H2859:N2859" si="279">+H2871</f>
        <v>0</v>
      </c>
      <c r="I2859" s="69">
        <f t="shared" si="279"/>
        <v>0</v>
      </c>
      <c r="J2859" s="69">
        <f t="shared" si="279"/>
        <v>0</v>
      </c>
      <c r="K2859" s="69">
        <f t="shared" si="279"/>
        <v>0</v>
      </c>
      <c r="L2859" s="69">
        <f t="shared" si="279"/>
        <v>0</v>
      </c>
      <c r="M2859" s="69">
        <f t="shared" si="279"/>
        <v>0</v>
      </c>
      <c r="N2859" s="69">
        <f t="shared" si="279"/>
        <v>0</v>
      </c>
      <c r="O2859" s="281"/>
    </row>
    <row r="2860" spans="1:23" s="5" customFormat="1" ht="15" customHeight="1" thickTop="1">
      <c r="A2860" s="2"/>
      <c r="C2860" s="3">
        <v>55</v>
      </c>
      <c r="D2860" s="47"/>
      <c r="E2860" s="47"/>
      <c r="F2860" s="47"/>
      <c r="G2860" s="56"/>
      <c r="H2860" s="56"/>
      <c r="I2860" s="56"/>
      <c r="J2860" s="56"/>
      <c r="K2860" s="56"/>
      <c r="L2860" s="56"/>
      <c r="M2860" s="56"/>
      <c r="N2860" s="56"/>
      <c r="O2860" s="289"/>
    </row>
    <row r="2861" spans="1:23" ht="15" customHeight="1">
      <c r="C2861" s="3">
        <v>55</v>
      </c>
      <c r="D2861" s="47" t="s">
        <v>1977</v>
      </c>
      <c r="G2861" s="26"/>
      <c r="H2861" s="26"/>
      <c r="I2861" s="26"/>
      <c r="J2861" s="26"/>
      <c r="K2861" s="26"/>
      <c r="L2861" s="26"/>
      <c r="M2861" s="26"/>
      <c r="N2861" s="26"/>
    </row>
    <row r="2862" spans="1:23" ht="15" customHeight="1">
      <c r="C2862" s="3">
        <v>55</v>
      </c>
      <c r="G2862" s="26"/>
      <c r="H2862" s="26"/>
      <c r="I2862" s="26"/>
      <c r="J2862" s="26"/>
      <c r="K2862" s="26"/>
      <c r="L2862" s="26"/>
      <c r="M2862" s="26"/>
      <c r="N2862" s="26"/>
    </row>
    <row r="2863" spans="1:23" ht="15" customHeight="1">
      <c r="B2863" s="2" t="s">
        <v>2318</v>
      </c>
      <c r="C2863" s="3">
        <v>55</v>
      </c>
      <c r="D2863" s="54" t="str">
        <f>+D2875</f>
        <v>*** TOTAL FUND 55 EXPENSES ***</v>
      </c>
      <c r="E2863" s="54"/>
      <c r="F2863" s="54">
        <f>+F2875</f>
        <v>0</v>
      </c>
      <c r="G2863" s="339">
        <f>+G2875</f>
        <v>0</v>
      </c>
      <c r="H2863" s="339">
        <f t="shared" ref="H2863:N2863" si="280">+H2875</f>
        <v>0</v>
      </c>
      <c r="I2863" s="339">
        <f t="shared" si="280"/>
        <v>0</v>
      </c>
      <c r="J2863" s="339">
        <f t="shared" si="280"/>
        <v>0</v>
      </c>
      <c r="K2863" s="339">
        <f t="shared" si="280"/>
        <v>0</v>
      </c>
      <c r="L2863" s="339">
        <f t="shared" si="280"/>
        <v>0</v>
      </c>
      <c r="M2863" s="339">
        <f t="shared" si="280"/>
        <v>0</v>
      </c>
      <c r="N2863" s="339">
        <f t="shared" si="280"/>
        <v>0</v>
      </c>
      <c r="O2863" s="303"/>
    </row>
    <row r="2864" spans="1:23" s="5" customFormat="1" ht="15" customHeight="1">
      <c r="A2864" s="2"/>
      <c r="C2864" s="3">
        <v>55</v>
      </c>
      <c r="D2864" s="47"/>
      <c r="E2864" s="47"/>
      <c r="F2864" s="47"/>
      <c r="G2864" s="56"/>
      <c r="H2864" s="56"/>
      <c r="I2864" s="56"/>
      <c r="J2864" s="56"/>
      <c r="K2864" s="56"/>
      <c r="L2864" s="56"/>
      <c r="M2864" s="56"/>
      <c r="N2864" s="56"/>
      <c r="O2864" s="289"/>
    </row>
    <row r="2865" spans="1:23" ht="15" customHeight="1" thickBot="1">
      <c r="B2865" s="2" t="s">
        <v>2318</v>
      </c>
      <c r="C2865" s="3">
        <v>55</v>
      </c>
      <c r="D2865" s="335" t="str">
        <f>+D2877</f>
        <v>*** FUND 55 REVENUES OVER(UNDER) EXPENSES ***</v>
      </c>
      <c r="E2865" s="336"/>
      <c r="F2865" s="336">
        <f>+F2877</f>
        <v>0</v>
      </c>
      <c r="G2865" s="336">
        <f>+G2877</f>
        <v>0</v>
      </c>
      <c r="H2865" s="336">
        <f t="shared" ref="H2865:N2865" si="281">+H2877</f>
        <v>0</v>
      </c>
      <c r="I2865" s="336">
        <f t="shared" si="281"/>
        <v>0</v>
      </c>
      <c r="J2865" s="336">
        <f t="shared" si="281"/>
        <v>0</v>
      </c>
      <c r="K2865" s="336">
        <f t="shared" si="281"/>
        <v>0</v>
      </c>
      <c r="L2865" s="336">
        <f t="shared" si="281"/>
        <v>0</v>
      </c>
      <c r="M2865" s="336">
        <f t="shared" si="281"/>
        <v>0</v>
      </c>
      <c r="N2865" s="336">
        <f t="shared" si="281"/>
        <v>0</v>
      </c>
      <c r="O2865" s="301"/>
    </row>
    <row r="2866" spans="1:23" ht="15" customHeight="1" thickTop="1">
      <c r="C2866" s="3">
        <v>55</v>
      </c>
      <c r="E2866" s="14"/>
      <c r="G2866" s="26"/>
      <c r="H2866" s="26"/>
      <c r="I2866" s="26"/>
      <c r="J2866" s="26"/>
      <c r="K2866" s="26"/>
      <c r="L2866" s="26"/>
      <c r="M2866" s="26"/>
      <c r="N2866" s="26"/>
    </row>
    <row r="2867" spans="1:23" ht="15" customHeight="1">
      <c r="C2867" s="3">
        <v>55</v>
      </c>
      <c r="D2867" s="54" t="s">
        <v>2875</v>
      </c>
      <c r="E2867" s="54"/>
      <c r="F2867" s="192"/>
      <c r="G2867" s="55"/>
      <c r="H2867" s="55"/>
      <c r="I2867" s="55"/>
      <c r="J2867" s="55">
        <v>0</v>
      </c>
      <c r="K2867" s="55">
        <f>+K2853+K2859-K2863</f>
        <v>0</v>
      </c>
      <c r="L2867" s="55"/>
      <c r="M2867" s="55">
        <f>+M2853+M2859-M2863</f>
        <v>0</v>
      </c>
      <c r="N2867" s="55">
        <f>+N2853+N2859-N2863</f>
        <v>0</v>
      </c>
      <c r="O2867" s="253"/>
      <c r="P2867" s="203"/>
      <c r="Q2867" s="204"/>
      <c r="R2867" s="205"/>
      <c r="S2867" s="206"/>
      <c r="T2867" s="207"/>
      <c r="U2867" s="207"/>
      <c r="V2867" s="208"/>
      <c r="W2867" s="212"/>
    </row>
    <row r="2868" spans="1:23" ht="15" customHeight="1">
      <c r="C2868" s="3">
        <v>55</v>
      </c>
      <c r="E2868" s="14"/>
      <c r="G2868" s="26"/>
      <c r="H2868" s="26"/>
      <c r="I2868" s="26"/>
      <c r="J2868" s="26"/>
      <c r="K2868" s="26"/>
      <c r="L2868" s="26"/>
      <c r="M2868" s="26"/>
      <c r="N2868" s="26"/>
    </row>
    <row r="2869" spans="1:23" ht="15" customHeight="1">
      <c r="C2869" s="3">
        <v>55</v>
      </c>
      <c r="E2869" s="14"/>
      <c r="G2869" s="26"/>
      <c r="H2869" s="26"/>
      <c r="I2869" s="26"/>
      <c r="J2869" s="26"/>
      <c r="K2869" s="26"/>
      <c r="L2869" s="26"/>
      <c r="M2869" s="26"/>
      <c r="N2869" s="26"/>
    </row>
    <row r="2870" spans="1:23" ht="15" customHeight="1">
      <c r="C2870" s="3">
        <v>55</v>
      </c>
      <c r="E2870" s="14"/>
      <c r="G2870" s="26"/>
      <c r="H2870" s="26"/>
      <c r="I2870" s="26"/>
      <c r="J2870" s="26"/>
      <c r="K2870" s="26"/>
      <c r="L2870" s="26"/>
      <c r="M2870" s="26"/>
      <c r="N2870" s="26"/>
    </row>
    <row r="2871" spans="1:23" ht="15" customHeight="1" thickBot="1">
      <c r="B2871" s="2" t="s">
        <v>2317</v>
      </c>
      <c r="C2871" s="3">
        <v>55</v>
      </c>
      <c r="D2871" s="68" t="s">
        <v>2321</v>
      </c>
      <c r="E2871" s="68"/>
      <c r="F2871" s="320"/>
      <c r="G2871" s="69">
        <f>SUM(G2868:G2870)</f>
        <v>0</v>
      </c>
      <c r="H2871" s="69">
        <f t="shared" ref="H2871:N2871" si="282">SUM(H2868:H2870)</f>
        <v>0</v>
      </c>
      <c r="I2871" s="69">
        <f t="shared" si="282"/>
        <v>0</v>
      </c>
      <c r="J2871" s="69">
        <f t="shared" si="282"/>
        <v>0</v>
      </c>
      <c r="K2871" s="69">
        <f t="shared" si="282"/>
        <v>0</v>
      </c>
      <c r="L2871" s="69">
        <f t="shared" si="282"/>
        <v>0</v>
      </c>
      <c r="M2871" s="69">
        <f t="shared" si="282"/>
        <v>0</v>
      </c>
      <c r="N2871" s="69">
        <f t="shared" si="282"/>
        <v>0</v>
      </c>
      <c r="O2871" s="281"/>
    </row>
    <row r="2872" spans="1:23" ht="15" customHeight="1" thickTop="1">
      <c r="C2872" s="3">
        <v>55</v>
      </c>
      <c r="G2872" s="26"/>
      <c r="H2872" s="26"/>
      <c r="I2872" s="26"/>
      <c r="J2872" s="26"/>
      <c r="K2872" s="26"/>
      <c r="L2872" s="26"/>
      <c r="M2872" s="26"/>
      <c r="N2872" s="26"/>
    </row>
    <row r="2873" spans="1:23" ht="15" customHeight="1">
      <c r="C2873" s="3">
        <v>55</v>
      </c>
      <c r="G2873" s="26"/>
      <c r="H2873" s="26"/>
      <c r="I2873" s="26"/>
      <c r="J2873" s="26"/>
      <c r="K2873" s="26"/>
      <c r="L2873" s="26"/>
      <c r="M2873" s="26"/>
      <c r="N2873" s="26"/>
    </row>
    <row r="2874" spans="1:23" ht="15" customHeight="1">
      <c r="C2874" s="3">
        <v>55</v>
      </c>
      <c r="D2874" s="47"/>
      <c r="G2874" s="26"/>
      <c r="H2874" s="26"/>
      <c r="I2874" s="26"/>
      <c r="J2874" s="26"/>
      <c r="K2874" s="26"/>
      <c r="L2874" s="26"/>
      <c r="M2874" s="26"/>
      <c r="N2874" s="26"/>
    </row>
    <row r="2875" spans="1:23" ht="15" customHeight="1">
      <c r="B2875" s="2" t="s">
        <v>2317</v>
      </c>
      <c r="C2875" s="3">
        <v>55</v>
      </c>
      <c r="D2875" s="54" t="s">
        <v>2276</v>
      </c>
      <c r="E2875" s="54"/>
      <c r="F2875" s="192"/>
      <c r="G2875" s="339">
        <f>SUM(G2872:G2874)</f>
        <v>0</v>
      </c>
      <c r="H2875" s="339">
        <f t="shared" ref="H2875:N2875" si="283">SUM(H2872:H2874)</f>
        <v>0</v>
      </c>
      <c r="I2875" s="339">
        <f t="shared" si="283"/>
        <v>0</v>
      </c>
      <c r="J2875" s="339">
        <f t="shared" si="283"/>
        <v>0</v>
      </c>
      <c r="K2875" s="339">
        <f t="shared" si="283"/>
        <v>0</v>
      </c>
      <c r="L2875" s="339">
        <f t="shared" si="283"/>
        <v>0</v>
      </c>
      <c r="M2875" s="339">
        <f t="shared" si="283"/>
        <v>0</v>
      </c>
      <c r="N2875" s="339">
        <f t="shared" si="283"/>
        <v>0</v>
      </c>
      <c r="O2875" s="305"/>
    </row>
    <row r="2876" spans="1:23" s="5" customFormat="1" ht="15" customHeight="1">
      <c r="A2876" s="2"/>
      <c r="C2876" s="3">
        <v>55</v>
      </c>
      <c r="D2876" s="47"/>
      <c r="E2876" s="47"/>
      <c r="F2876" s="191"/>
      <c r="G2876" s="56"/>
      <c r="H2876" s="56"/>
      <c r="I2876" s="56"/>
      <c r="J2876" s="56"/>
      <c r="K2876" s="56"/>
      <c r="L2876" s="56"/>
      <c r="M2876" s="56"/>
      <c r="N2876" s="56"/>
      <c r="O2876" s="289"/>
    </row>
    <row r="2877" spans="1:23" ht="15" customHeight="1" thickBot="1">
      <c r="B2877" s="2" t="s">
        <v>2317</v>
      </c>
      <c r="C2877" s="3">
        <v>55</v>
      </c>
      <c r="D2877" s="329" t="s">
        <v>2251</v>
      </c>
      <c r="E2877" s="329"/>
      <c r="F2877" s="330"/>
      <c r="G2877" s="336">
        <f>+G2871-G2875</f>
        <v>0</v>
      </c>
      <c r="H2877" s="336">
        <f t="shared" ref="H2877:N2877" si="284">+H2871-H2875</f>
        <v>0</v>
      </c>
      <c r="I2877" s="336">
        <f t="shared" si="284"/>
        <v>0</v>
      </c>
      <c r="J2877" s="336">
        <f t="shared" si="284"/>
        <v>0</v>
      </c>
      <c r="K2877" s="336">
        <f t="shared" si="284"/>
        <v>0</v>
      </c>
      <c r="L2877" s="336">
        <f t="shared" si="284"/>
        <v>0</v>
      </c>
      <c r="M2877" s="336">
        <f t="shared" si="284"/>
        <v>0</v>
      </c>
      <c r="N2877" s="336">
        <f t="shared" si="284"/>
        <v>0</v>
      </c>
      <c r="O2877" s="301"/>
    </row>
    <row r="2878" spans="1:23" s="5" customFormat="1" ht="15" customHeight="1" thickTop="1">
      <c r="A2878" s="2"/>
      <c r="C2878" s="3">
        <v>55</v>
      </c>
      <c r="D2878" s="47"/>
      <c r="E2878" s="47"/>
      <c r="F2878" s="191"/>
      <c r="G2878" s="56"/>
      <c r="H2878" s="56"/>
      <c r="I2878" s="56"/>
      <c r="J2878" s="56"/>
      <c r="K2878" s="56"/>
      <c r="L2878" s="56"/>
      <c r="M2878" s="56"/>
      <c r="N2878" s="56"/>
      <c r="O2878" s="289"/>
    </row>
    <row r="2879" spans="1:23" ht="15" customHeight="1">
      <c r="C2879" s="3">
        <v>55</v>
      </c>
      <c r="D2879" s="54" t="s">
        <v>2875</v>
      </c>
      <c r="E2879" s="54"/>
      <c r="F2879" s="192"/>
      <c r="G2879" s="55"/>
      <c r="H2879" s="55"/>
      <c r="I2879" s="55"/>
      <c r="J2879" s="55">
        <v>0</v>
      </c>
      <c r="K2879" s="55">
        <f>+K2867</f>
        <v>0</v>
      </c>
      <c r="L2879" s="55"/>
      <c r="M2879" s="55">
        <f>+M2867</f>
        <v>0</v>
      </c>
      <c r="N2879" s="55">
        <f>+N2867</f>
        <v>0</v>
      </c>
      <c r="O2879" s="253"/>
      <c r="P2879" s="203"/>
      <c r="Q2879" s="204"/>
      <c r="R2879" s="205"/>
      <c r="S2879" s="206"/>
      <c r="T2879" s="207"/>
      <c r="U2879" s="207"/>
      <c r="V2879" s="208"/>
      <c r="W2879" s="212"/>
    </row>
    <row r="2880" spans="1:23" s="195" customFormat="1" ht="15" customHeight="1">
      <c r="A2880" s="2"/>
      <c r="C2880" s="3">
        <v>55</v>
      </c>
      <c r="D2880" s="47"/>
      <c r="E2880" s="47"/>
      <c r="F2880" s="191"/>
      <c r="G2880" s="56"/>
      <c r="H2880" s="56"/>
      <c r="I2880" s="56"/>
      <c r="J2880" s="56"/>
      <c r="K2880" s="56"/>
      <c r="L2880" s="56"/>
      <c r="M2880" s="56"/>
      <c r="N2880" s="56"/>
      <c r="O2880" s="289"/>
    </row>
    <row r="2881" spans="1:23" ht="15" customHeight="1">
      <c r="C2881" s="3">
        <v>55</v>
      </c>
      <c r="D2881" s="47" t="s">
        <v>1976</v>
      </c>
      <c r="E2881" s="47"/>
      <c r="F2881" s="191"/>
      <c r="G2881" s="48"/>
      <c r="H2881" s="48"/>
      <c r="I2881" s="48"/>
      <c r="J2881" s="48"/>
      <c r="K2881" s="48"/>
      <c r="L2881" s="48"/>
      <c r="M2881" s="48"/>
      <c r="N2881" s="48"/>
      <c r="O2881" s="276"/>
      <c r="P2881" s="214">
        <v>2451</v>
      </c>
      <c r="Q2881" s="215">
        <v>55</v>
      </c>
      <c r="R2881" s="216" t="s">
        <v>2630</v>
      </c>
      <c r="S2881" s="217"/>
      <c r="T2881" s="218"/>
      <c r="U2881" s="218"/>
      <c r="V2881" s="218"/>
      <c r="W2881" s="219"/>
    </row>
    <row r="2882" spans="1:23" s="35" customFormat="1" ht="15" customHeight="1">
      <c r="A2882" s="2"/>
      <c r="B2882" s="2"/>
      <c r="C2882" s="3"/>
      <c r="D2882" s="47"/>
      <c r="E2882" s="47"/>
      <c r="F2882" s="191"/>
      <c r="G2882" s="48"/>
      <c r="H2882" s="48"/>
      <c r="I2882" s="48"/>
      <c r="J2882" s="48"/>
      <c r="K2882" s="48"/>
      <c r="L2882" s="48"/>
      <c r="M2882" s="48"/>
      <c r="N2882" s="48"/>
      <c r="O2882" s="276"/>
    </row>
    <row r="2883" spans="1:23" s="35" customFormat="1" ht="15" customHeight="1">
      <c r="A2883" s="2"/>
      <c r="B2883" s="2"/>
      <c r="C2883" s="3"/>
      <c r="D2883" s="47"/>
      <c r="E2883" s="47"/>
      <c r="F2883" s="191"/>
      <c r="G2883" s="48"/>
      <c r="H2883" s="48"/>
      <c r="I2883" s="48"/>
      <c r="J2883" s="48"/>
      <c r="K2883" s="48"/>
      <c r="L2883" s="48"/>
      <c r="M2883" s="48"/>
      <c r="N2883" s="48"/>
      <c r="O2883" s="276"/>
    </row>
    <row r="2884" spans="1:23" s="35" customFormat="1" ht="15" customHeight="1">
      <c r="A2884" s="2"/>
      <c r="B2884" s="2"/>
      <c r="C2884" s="3"/>
      <c r="D2884" s="47"/>
      <c r="E2884" s="47"/>
      <c r="F2884" s="191"/>
      <c r="G2884" s="48"/>
      <c r="H2884" s="48"/>
      <c r="I2884" s="48"/>
      <c r="J2884" s="48"/>
      <c r="K2884" s="48"/>
      <c r="L2884" s="48"/>
      <c r="M2884" s="48"/>
      <c r="N2884" s="48"/>
      <c r="O2884" s="276"/>
    </row>
    <row r="2885" spans="1:23" s="35" customFormat="1" ht="15" customHeight="1">
      <c r="A2885" s="2"/>
      <c r="B2885" s="2"/>
      <c r="C2885" s="3">
        <v>60</v>
      </c>
      <c r="D2885" s="47" t="s">
        <v>2389</v>
      </c>
      <c r="E2885" s="47"/>
      <c r="F2885" s="191"/>
      <c r="G2885" s="48"/>
      <c r="H2885" s="48"/>
      <c r="I2885" s="48"/>
      <c r="J2885" s="48"/>
      <c r="K2885" s="48"/>
      <c r="L2885" s="48"/>
      <c r="M2885" s="48"/>
      <c r="N2885" s="48"/>
      <c r="O2885" s="276"/>
    </row>
    <row r="2886" spans="1:23" s="35" customFormat="1" ht="15" customHeight="1">
      <c r="A2886" s="2"/>
      <c r="B2886" s="2"/>
      <c r="C2886" s="3">
        <v>60</v>
      </c>
      <c r="D2886" s="47"/>
      <c r="E2886" s="47"/>
      <c r="F2886" s="191"/>
      <c r="G2886" s="48"/>
      <c r="H2886" s="48"/>
      <c r="I2886" s="48"/>
      <c r="J2886" s="48"/>
      <c r="K2886" s="48"/>
      <c r="L2886" s="48"/>
      <c r="M2886" s="48"/>
      <c r="N2886" s="48"/>
      <c r="O2886" s="276"/>
    </row>
    <row r="2887" spans="1:23" ht="15" customHeight="1">
      <c r="C2887" s="3">
        <v>60</v>
      </c>
      <c r="D2887" s="54" t="s">
        <v>2874</v>
      </c>
      <c r="E2887" s="54"/>
      <c r="F2887" s="192"/>
      <c r="G2887" s="55"/>
      <c r="H2887" s="55"/>
      <c r="I2887" s="55"/>
      <c r="J2887" s="55">
        <f>K2887+6701</f>
        <v>363707.34</v>
      </c>
      <c r="K2887" s="55">
        <v>357006.34</v>
      </c>
      <c r="L2887" s="55"/>
      <c r="M2887" s="55">
        <f>K2887</f>
        <v>357006.34</v>
      </c>
      <c r="N2887" s="55">
        <f>+M2903</f>
        <v>310746.34000000003</v>
      </c>
      <c r="O2887" s="278"/>
      <c r="P2887" s="203"/>
      <c r="Q2887" s="204"/>
      <c r="R2887" s="205"/>
      <c r="S2887" s="206"/>
      <c r="T2887" s="207"/>
      <c r="U2887" s="207"/>
      <c r="V2887" s="208"/>
      <c r="W2887" s="212"/>
    </row>
    <row r="2888" spans="1:23" s="35" customFormat="1" ht="15" customHeight="1">
      <c r="A2888" s="2"/>
      <c r="B2888" s="2"/>
      <c r="C2888" s="3">
        <v>60</v>
      </c>
      <c r="D2888" s="47"/>
      <c r="E2888" s="47"/>
      <c r="F2888" s="191"/>
      <c r="G2888" s="48"/>
      <c r="H2888" s="48"/>
      <c r="I2888" s="48"/>
      <c r="J2888" s="48"/>
      <c r="K2888" s="48"/>
      <c r="L2888" s="48"/>
      <c r="M2888" s="48"/>
      <c r="N2888" s="48"/>
      <c r="O2888" s="276"/>
    </row>
    <row r="2889" spans="1:23" ht="15" customHeight="1">
      <c r="C2889" s="3">
        <v>60</v>
      </c>
      <c r="D2889" s="47" t="s">
        <v>2226</v>
      </c>
      <c r="G2889" s="26"/>
      <c r="H2889" s="26"/>
      <c r="I2889" s="26"/>
      <c r="J2889" s="26"/>
      <c r="K2889" s="26"/>
      <c r="L2889" s="26"/>
      <c r="M2889" s="26"/>
      <c r="N2889" s="26"/>
      <c r="P2889" s="214">
        <v>2452</v>
      </c>
      <c r="Q2889" s="215">
        <v>60</v>
      </c>
      <c r="R2889" s="216" t="s">
        <v>2610</v>
      </c>
      <c r="S2889" s="217"/>
      <c r="T2889" s="218"/>
      <c r="U2889" s="218"/>
      <c r="V2889" s="219"/>
      <c r="W2889" s="219"/>
    </row>
    <row r="2890" spans="1:23" ht="15" customHeight="1">
      <c r="C2890" s="3">
        <v>60</v>
      </c>
      <c r="G2890" s="26"/>
      <c r="H2890" s="26"/>
      <c r="I2890" s="26"/>
      <c r="J2890" s="26"/>
      <c r="K2890" s="26"/>
      <c r="L2890" s="26"/>
      <c r="M2890" s="26"/>
      <c r="N2890" s="26"/>
      <c r="P2890" s="214">
        <v>2453</v>
      </c>
      <c r="Q2890" s="215">
        <v>60</v>
      </c>
      <c r="R2890" s="216" t="s">
        <v>2611</v>
      </c>
      <c r="S2890" s="217"/>
      <c r="T2890" s="218"/>
      <c r="U2890" s="218"/>
      <c r="V2890" s="219"/>
      <c r="W2890" s="219"/>
    </row>
    <row r="2891" spans="1:23" s="21" customFormat="1" ht="15" customHeight="1">
      <c r="A2891" s="2"/>
      <c r="B2891" s="2" t="s">
        <v>2318</v>
      </c>
      <c r="C2891" s="3">
        <v>60</v>
      </c>
      <c r="D2891" s="54" t="s">
        <v>2202</v>
      </c>
      <c r="E2891" s="54"/>
      <c r="F2891" s="192"/>
      <c r="G2891" s="55">
        <f>+G2893</f>
        <v>12565</v>
      </c>
      <c r="H2891" s="55">
        <f t="shared" ref="H2891:N2891" si="285">+H2893</f>
        <v>12817</v>
      </c>
      <c r="I2891" s="55">
        <f t="shared" si="285"/>
        <v>11593</v>
      </c>
      <c r="J2891" s="55">
        <f t="shared" si="285"/>
        <v>5094</v>
      </c>
      <c r="K2891" s="55">
        <f t="shared" si="285"/>
        <v>3500</v>
      </c>
      <c r="L2891" s="55">
        <f t="shared" si="285"/>
        <v>4020</v>
      </c>
      <c r="M2891" s="55">
        <f t="shared" si="285"/>
        <v>6000</v>
      </c>
      <c r="N2891" s="55">
        <f t="shared" si="285"/>
        <v>6000</v>
      </c>
      <c r="O2891" s="279"/>
      <c r="P2891" s="214">
        <v>2454</v>
      </c>
      <c r="Q2891" s="215">
        <v>60</v>
      </c>
      <c r="R2891" s="216" t="s">
        <v>2612</v>
      </c>
      <c r="S2891" s="217"/>
      <c r="T2891" s="218">
        <v>3500</v>
      </c>
      <c r="U2891" s="218">
        <v>515.33000000000004</v>
      </c>
      <c r="V2891" s="219">
        <v>4535.37</v>
      </c>
      <c r="W2891" s="219">
        <v>129.58000000000001</v>
      </c>
    </row>
    <row r="2892" spans="1:23" s="57" customFormat="1" ht="15" customHeight="1">
      <c r="A2892" s="5"/>
      <c r="B2892" s="5"/>
      <c r="C2892" s="3">
        <v>60</v>
      </c>
      <c r="D2892" s="54"/>
      <c r="E2892" s="54"/>
      <c r="F2892" s="192"/>
      <c r="G2892" s="55"/>
      <c r="H2892" s="55"/>
      <c r="I2892" s="55"/>
      <c r="J2892" s="55"/>
      <c r="K2892" s="55"/>
      <c r="L2892" s="55"/>
      <c r="M2892" s="55"/>
      <c r="N2892" s="55"/>
      <c r="O2892" s="302"/>
      <c r="P2892" s="220"/>
      <c r="Q2892" s="220"/>
      <c r="R2892" s="220"/>
      <c r="S2892" s="220"/>
      <c r="T2892" s="220"/>
      <c r="U2892" s="220"/>
      <c r="V2892" s="220"/>
      <c r="W2892" s="220"/>
    </row>
    <row r="2893" spans="1:23" s="27" customFormat="1" ht="15" customHeight="1" thickBot="1">
      <c r="A2893" s="2"/>
      <c r="B2893" s="2" t="s">
        <v>2318</v>
      </c>
      <c r="C2893" s="3">
        <v>60</v>
      </c>
      <c r="D2893" s="68" t="str">
        <f>+D2909</f>
        <v>*** TOTAL FUND 60 REVENUES ***</v>
      </c>
      <c r="E2893" s="68"/>
      <c r="F2893" s="68">
        <f>+F2909</f>
        <v>0</v>
      </c>
      <c r="G2893" s="69">
        <f>+G2909</f>
        <v>12565</v>
      </c>
      <c r="H2893" s="69">
        <f t="shared" ref="H2893:N2893" si="286">+H2909</f>
        <v>12817</v>
      </c>
      <c r="I2893" s="69">
        <f t="shared" si="286"/>
        <v>11593</v>
      </c>
      <c r="J2893" s="69">
        <f t="shared" si="286"/>
        <v>5094</v>
      </c>
      <c r="K2893" s="69">
        <f t="shared" si="286"/>
        <v>3500</v>
      </c>
      <c r="L2893" s="69">
        <f t="shared" si="286"/>
        <v>4020</v>
      </c>
      <c r="M2893" s="69">
        <f t="shared" si="286"/>
        <v>6000</v>
      </c>
      <c r="N2893" s="69">
        <f t="shared" si="286"/>
        <v>6000</v>
      </c>
      <c r="O2893" s="281"/>
      <c r="P2893" s="214">
        <v>2455</v>
      </c>
      <c r="Q2893" s="215">
        <v>60</v>
      </c>
      <c r="R2893" s="216" t="s">
        <v>2613</v>
      </c>
      <c r="S2893" s="217"/>
      <c r="T2893" s="218">
        <v>3500</v>
      </c>
      <c r="U2893" s="218">
        <v>515.33000000000004</v>
      </c>
      <c r="V2893" s="219">
        <v>4535.37</v>
      </c>
      <c r="W2893" s="219">
        <v>129.58000000000001</v>
      </c>
    </row>
    <row r="2894" spans="1:23" s="46" customFormat="1" ht="15" customHeight="1" thickTop="1">
      <c r="A2894" s="5"/>
      <c r="B2894" s="5"/>
      <c r="C2894" s="3">
        <v>60</v>
      </c>
      <c r="D2894" s="47"/>
      <c r="E2894" s="47"/>
      <c r="F2894" s="47"/>
      <c r="G2894" s="56"/>
      <c r="H2894" s="56"/>
      <c r="I2894" s="56"/>
      <c r="J2894" s="56"/>
      <c r="K2894" s="56"/>
      <c r="L2894" s="56"/>
      <c r="M2894" s="56"/>
      <c r="N2894" s="56"/>
      <c r="O2894" s="289"/>
      <c r="P2894" s="221"/>
      <c r="Q2894" s="221"/>
      <c r="R2894" s="221"/>
      <c r="S2894" s="221"/>
      <c r="T2894" s="221"/>
      <c r="U2894" s="221"/>
      <c r="V2894" s="221"/>
      <c r="W2894" s="221"/>
    </row>
    <row r="2895" spans="1:23" ht="15" customHeight="1">
      <c r="C2895" s="3">
        <v>60</v>
      </c>
      <c r="D2895" s="47" t="s">
        <v>1977</v>
      </c>
      <c r="G2895" s="26"/>
      <c r="H2895" s="26"/>
      <c r="I2895" s="26"/>
      <c r="J2895" s="26"/>
      <c r="K2895" s="26"/>
      <c r="L2895" s="26"/>
      <c r="M2895" s="26"/>
      <c r="N2895" s="26"/>
      <c r="P2895" s="214">
        <v>2456</v>
      </c>
      <c r="Q2895" s="215">
        <v>60</v>
      </c>
      <c r="R2895" s="216" t="s">
        <v>2614</v>
      </c>
      <c r="S2895" s="217"/>
      <c r="T2895" s="218"/>
      <c r="U2895" s="218"/>
      <c r="V2895" s="219"/>
      <c r="W2895" s="219"/>
    </row>
    <row r="2896" spans="1:23" ht="15" customHeight="1">
      <c r="C2896" s="3">
        <v>60</v>
      </c>
      <c r="G2896" s="26"/>
      <c r="H2896" s="26"/>
      <c r="I2896" s="26"/>
      <c r="J2896" s="26"/>
      <c r="K2896" s="26"/>
      <c r="L2896" s="26"/>
      <c r="M2896" s="26"/>
      <c r="N2896" s="26"/>
      <c r="P2896" s="214">
        <v>2457</v>
      </c>
      <c r="Q2896" s="215">
        <v>60</v>
      </c>
      <c r="R2896" s="216" t="s">
        <v>2615</v>
      </c>
      <c r="S2896" s="217"/>
      <c r="T2896" s="218"/>
      <c r="U2896" s="218"/>
      <c r="V2896" s="219"/>
      <c r="W2896" s="219"/>
    </row>
    <row r="2897" spans="1:23" ht="15" customHeight="1">
      <c r="B2897" s="2" t="s">
        <v>2318</v>
      </c>
      <c r="C2897" s="3">
        <v>60</v>
      </c>
      <c r="D2897" s="47" t="s">
        <v>1667</v>
      </c>
      <c r="G2897" s="26">
        <f>+G2925</f>
        <v>27000</v>
      </c>
      <c r="H2897" s="26">
        <f t="shared" ref="H2897:N2897" si="287">+H2925</f>
        <v>8000</v>
      </c>
      <c r="I2897" s="26">
        <f t="shared" si="287"/>
        <v>25000</v>
      </c>
      <c r="J2897" s="26">
        <f t="shared" si="287"/>
        <v>11795</v>
      </c>
      <c r="K2897" s="26">
        <f t="shared" si="287"/>
        <v>50000</v>
      </c>
      <c r="L2897" s="26">
        <f t="shared" si="287"/>
        <v>2260</v>
      </c>
      <c r="M2897" s="26">
        <f t="shared" si="287"/>
        <v>52260</v>
      </c>
      <c r="N2897" s="26">
        <f t="shared" si="287"/>
        <v>49750</v>
      </c>
      <c r="P2897" s="214">
        <v>2458</v>
      </c>
      <c r="Q2897" s="215">
        <v>60</v>
      </c>
      <c r="R2897" s="216" t="s">
        <v>1667</v>
      </c>
      <c r="S2897" s="217"/>
      <c r="T2897" s="218">
        <v>50000</v>
      </c>
      <c r="U2897" s="218">
        <v>0</v>
      </c>
      <c r="V2897" s="219">
        <v>2259.87</v>
      </c>
      <c r="W2897" s="219">
        <v>4.5199999999999996</v>
      </c>
    </row>
    <row r="2898" spans="1:23" ht="15" customHeight="1">
      <c r="C2898" s="3">
        <v>60</v>
      </c>
      <c r="D2898" s="47"/>
      <c r="G2898" s="26"/>
      <c r="H2898" s="26"/>
      <c r="I2898" s="26"/>
      <c r="J2898" s="26"/>
      <c r="K2898" s="26"/>
      <c r="L2898" s="26"/>
      <c r="M2898" s="26"/>
      <c r="N2898" s="26"/>
      <c r="P2898" s="222"/>
      <c r="Q2898" s="222"/>
      <c r="R2898" s="222"/>
      <c r="S2898" s="223"/>
      <c r="T2898" s="223"/>
      <c r="U2898" s="223"/>
      <c r="V2898" s="224"/>
      <c r="W2898" s="224"/>
    </row>
    <row r="2899" spans="1:23" s="37" customFormat="1" ht="15" customHeight="1">
      <c r="A2899" s="2"/>
      <c r="B2899" s="2" t="s">
        <v>2318</v>
      </c>
      <c r="C2899" s="3">
        <v>60</v>
      </c>
      <c r="D2899" s="54" t="str">
        <f>+D2927</f>
        <v>*** TOTAL FUND 60 EXPENSES ***</v>
      </c>
      <c r="E2899" s="54"/>
      <c r="F2899" s="54">
        <f t="shared" ref="F2899:N2899" si="288">+F2927</f>
        <v>0</v>
      </c>
      <c r="G2899" s="339">
        <f t="shared" si="288"/>
        <v>27000</v>
      </c>
      <c r="H2899" s="339">
        <f t="shared" si="288"/>
        <v>8000</v>
      </c>
      <c r="I2899" s="339">
        <f t="shared" si="288"/>
        <v>25000</v>
      </c>
      <c r="J2899" s="339">
        <f t="shared" si="288"/>
        <v>11795</v>
      </c>
      <c r="K2899" s="339">
        <f t="shared" si="288"/>
        <v>50000</v>
      </c>
      <c r="L2899" s="339">
        <f t="shared" si="288"/>
        <v>2260</v>
      </c>
      <c r="M2899" s="339">
        <f t="shared" si="288"/>
        <v>52260</v>
      </c>
      <c r="N2899" s="339">
        <f t="shared" si="288"/>
        <v>49750</v>
      </c>
      <c r="O2899" s="303"/>
      <c r="P2899" s="214">
        <v>2460</v>
      </c>
      <c r="Q2899" s="215">
        <v>60</v>
      </c>
      <c r="R2899" s="216" t="s">
        <v>2618</v>
      </c>
      <c r="S2899" s="217"/>
      <c r="T2899" s="218">
        <v>50000</v>
      </c>
      <c r="U2899" s="218">
        <v>0</v>
      </c>
      <c r="V2899" s="219">
        <v>2259.87</v>
      </c>
      <c r="W2899" s="219">
        <v>4.5199999999999996</v>
      </c>
    </row>
    <row r="2900" spans="1:23" s="46" customFormat="1" ht="15" customHeight="1">
      <c r="A2900" s="5"/>
      <c r="B2900" s="5"/>
      <c r="C2900" s="3">
        <v>60</v>
      </c>
      <c r="D2900" s="47"/>
      <c r="E2900" s="47"/>
      <c r="F2900" s="47"/>
      <c r="G2900" s="56"/>
      <c r="H2900" s="56"/>
      <c r="I2900" s="56"/>
      <c r="J2900" s="56"/>
      <c r="K2900" s="56"/>
      <c r="L2900" s="56"/>
      <c r="M2900" s="56"/>
      <c r="N2900" s="56"/>
      <c r="O2900" s="289"/>
      <c r="P2900" s="221"/>
      <c r="Q2900" s="221"/>
      <c r="R2900" s="221"/>
      <c r="S2900" s="221"/>
      <c r="T2900" s="221"/>
      <c r="U2900" s="221"/>
      <c r="V2900" s="221"/>
      <c r="W2900" s="221"/>
    </row>
    <row r="2901" spans="1:23" s="33" customFormat="1" ht="15" customHeight="1" thickBot="1">
      <c r="A2901" s="2"/>
      <c r="B2901" s="2" t="s">
        <v>2318</v>
      </c>
      <c r="C2901" s="3">
        <v>60</v>
      </c>
      <c r="D2901" s="335" t="str">
        <f>+D2929</f>
        <v>*** FUND 60 REVENUES OVER(UNDER) EXPENSES ***</v>
      </c>
      <c r="E2901" s="336"/>
      <c r="F2901" s="336">
        <f>+F2929</f>
        <v>0</v>
      </c>
      <c r="G2901" s="336">
        <f>+G2929</f>
        <v>-14435</v>
      </c>
      <c r="H2901" s="336">
        <f t="shared" ref="H2901:N2901" si="289">+H2929</f>
        <v>4817</v>
      </c>
      <c r="I2901" s="336">
        <f t="shared" si="289"/>
        <v>-13407</v>
      </c>
      <c r="J2901" s="336">
        <f t="shared" si="289"/>
        <v>-6701</v>
      </c>
      <c r="K2901" s="336">
        <f t="shared" si="289"/>
        <v>-46500</v>
      </c>
      <c r="L2901" s="336">
        <f t="shared" si="289"/>
        <v>1760</v>
      </c>
      <c r="M2901" s="336">
        <f t="shared" si="289"/>
        <v>-46260</v>
      </c>
      <c r="N2901" s="336">
        <f t="shared" si="289"/>
        <v>-43750</v>
      </c>
      <c r="O2901" s="301"/>
      <c r="P2901" s="214">
        <v>2461</v>
      </c>
      <c r="Q2901" s="215">
        <v>60</v>
      </c>
      <c r="R2901" s="216" t="s">
        <v>2619</v>
      </c>
      <c r="S2901" s="217"/>
      <c r="T2901" s="218">
        <v>-46500</v>
      </c>
      <c r="U2901" s="218">
        <v>515.33000000000004</v>
      </c>
      <c r="V2901" s="219">
        <v>2275.5</v>
      </c>
      <c r="W2901" s="219">
        <v>-4.8899999999999997</v>
      </c>
    </row>
    <row r="2902" spans="1:23" s="46" customFormat="1" ht="15" customHeight="1" thickTop="1">
      <c r="A2902" s="5"/>
      <c r="B2902" s="5"/>
      <c r="C2902" s="3">
        <v>60</v>
      </c>
      <c r="D2902" s="58"/>
      <c r="E2902" s="56"/>
      <c r="F2902" s="56"/>
      <c r="G2902" s="56"/>
      <c r="H2902" s="56"/>
      <c r="I2902" s="56"/>
      <c r="J2902" s="56"/>
      <c r="K2902" s="56"/>
      <c r="L2902" s="56"/>
      <c r="M2902" s="56"/>
      <c r="N2902" s="56"/>
      <c r="O2902" s="289"/>
      <c r="P2902" s="221"/>
      <c r="Q2902" s="221"/>
      <c r="R2902" s="221"/>
      <c r="S2902" s="221"/>
      <c r="T2902" s="221"/>
      <c r="U2902" s="221"/>
      <c r="V2902" s="221"/>
      <c r="W2902" s="221"/>
    </row>
    <row r="2903" spans="1:23" ht="15" customHeight="1">
      <c r="C2903" s="3">
        <v>60</v>
      </c>
      <c r="D2903" s="54" t="s">
        <v>2875</v>
      </c>
      <c r="E2903" s="54"/>
      <c r="F2903" s="192"/>
      <c r="G2903" s="55"/>
      <c r="H2903" s="55"/>
      <c r="I2903" s="55"/>
      <c r="J2903" s="55"/>
      <c r="K2903" s="55">
        <f>+K2887+K2893-K2899</f>
        <v>310506.34000000003</v>
      </c>
      <c r="L2903" s="55"/>
      <c r="M2903" s="55">
        <f>+M2887+M2893-M2899</f>
        <v>310746.34000000003</v>
      </c>
      <c r="N2903" s="55">
        <f>+N2887+N2893-N2899</f>
        <v>266996.34000000003</v>
      </c>
      <c r="O2903" s="253"/>
      <c r="P2903" s="203"/>
      <c r="Q2903" s="204"/>
      <c r="R2903" s="205"/>
      <c r="S2903" s="206"/>
      <c r="T2903" s="207"/>
      <c r="U2903" s="207"/>
      <c r="V2903" s="208"/>
      <c r="W2903" s="212"/>
    </row>
    <row r="2904" spans="1:23" s="46" customFormat="1" ht="15" customHeight="1">
      <c r="A2904" s="195"/>
      <c r="B2904" s="195"/>
      <c r="C2904" s="3">
        <v>60</v>
      </c>
      <c r="D2904" s="58"/>
      <c r="E2904" s="56"/>
      <c r="F2904" s="56"/>
      <c r="G2904" s="56"/>
      <c r="H2904" s="56"/>
      <c r="I2904" s="56"/>
      <c r="J2904" s="56"/>
      <c r="K2904" s="56"/>
      <c r="L2904" s="56"/>
      <c r="M2904" s="26"/>
      <c r="N2904" s="26"/>
      <c r="O2904" s="289"/>
      <c r="P2904" s="221"/>
      <c r="Q2904" s="221"/>
      <c r="R2904" s="221"/>
      <c r="S2904" s="221"/>
      <c r="T2904" s="221"/>
      <c r="U2904" s="221"/>
      <c r="V2904" s="221"/>
      <c r="W2904" s="221"/>
    </row>
    <row r="2905" spans="1:23" ht="15" customHeight="1">
      <c r="C2905" s="3">
        <v>60</v>
      </c>
      <c r="D2905" s="15">
        <v>4330</v>
      </c>
      <c r="E2905" s="312" t="s">
        <v>1669</v>
      </c>
      <c r="G2905" s="26">
        <v>11950</v>
      </c>
      <c r="H2905" s="26">
        <v>9459</v>
      </c>
      <c r="I2905" s="26">
        <v>9460</v>
      </c>
      <c r="J2905" s="26">
        <v>3599</v>
      </c>
      <c r="K2905" s="26">
        <v>2500</v>
      </c>
      <c r="L2905" s="26">
        <v>2085</v>
      </c>
      <c r="M2905" s="26">
        <v>3000</v>
      </c>
      <c r="N2905" s="26">
        <v>3000</v>
      </c>
      <c r="O2905" s="285"/>
      <c r="P2905" s="214">
        <v>2462</v>
      </c>
      <c r="Q2905" s="215">
        <v>60</v>
      </c>
      <c r="R2905" s="216">
        <v>4330</v>
      </c>
      <c r="S2905" s="217" t="s">
        <v>1669</v>
      </c>
      <c r="T2905" s="218">
        <v>2500</v>
      </c>
      <c r="U2905" s="218">
        <v>304.83</v>
      </c>
      <c r="V2905" s="219">
        <v>2389.87</v>
      </c>
      <c r="W2905" s="219">
        <v>95.59</v>
      </c>
    </row>
    <row r="2906" spans="1:23" ht="15" customHeight="1">
      <c r="C2906" s="3">
        <v>60</v>
      </c>
      <c r="D2906" s="15">
        <v>4610</v>
      </c>
      <c r="E2906" s="312" t="s">
        <v>1901</v>
      </c>
      <c r="G2906" s="26">
        <v>615</v>
      </c>
      <c r="H2906" s="26">
        <v>3358</v>
      </c>
      <c r="I2906" s="26">
        <v>2133</v>
      </c>
      <c r="J2906" s="26">
        <v>1495</v>
      </c>
      <c r="K2906" s="26">
        <v>1000</v>
      </c>
      <c r="L2906" s="26">
        <v>1935</v>
      </c>
      <c r="M2906" s="26">
        <v>3000</v>
      </c>
      <c r="N2906" s="26">
        <v>3000</v>
      </c>
      <c r="O2906" s="285"/>
      <c r="P2906" s="214">
        <v>2463</v>
      </c>
      <c r="Q2906" s="215">
        <v>60</v>
      </c>
      <c r="R2906" s="216">
        <v>4610</v>
      </c>
      <c r="S2906" s="217" t="s">
        <v>1901</v>
      </c>
      <c r="T2906" s="218">
        <v>1000</v>
      </c>
      <c r="U2906" s="218">
        <v>210.5</v>
      </c>
      <c r="V2906" s="219">
        <v>2145.5</v>
      </c>
      <c r="W2906" s="219">
        <v>214.55</v>
      </c>
    </row>
    <row r="2907" spans="1:23" ht="15" customHeight="1">
      <c r="C2907" s="3">
        <v>60</v>
      </c>
      <c r="D2907" s="15">
        <v>4690</v>
      </c>
      <c r="E2907" s="312" t="s">
        <v>63</v>
      </c>
      <c r="G2907" s="26">
        <v>0</v>
      </c>
      <c r="H2907" s="26">
        <v>0</v>
      </c>
      <c r="I2907" s="26">
        <v>0</v>
      </c>
      <c r="J2907" s="26">
        <v>0</v>
      </c>
      <c r="K2907" s="26">
        <v>0</v>
      </c>
      <c r="L2907" s="26">
        <v>0</v>
      </c>
      <c r="M2907" s="26">
        <v>0</v>
      </c>
      <c r="N2907" s="26">
        <v>0</v>
      </c>
      <c r="O2907" s="285"/>
      <c r="P2907" s="214">
        <v>2464</v>
      </c>
      <c r="Q2907" s="215">
        <v>60</v>
      </c>
      <c r="R2907" s="216">
        <v>4690</v>
      </c>
      <c r="S2907" s="217" t="s">
        <v>63</v>
      </c>
      <c r="T2907" s="218">
        <v>0</v>
      </c>
      <c r="U2907" s="218">
        <v>0</v>
      </c>
      <c r="V2907" s="219">
        <v>0</v>
      </c>
      <c r="W2907" s="219">
        <v>0</v>
      </c>
    </row>
    <row r="2908" spans="1:23" ht="15" customHeight="1">
      <c r="C2908" s="3">
        <v>60</v>
      </c>
      <c r="E2908" s="14"/>
      <c r="G2908" s="26"/>
      <c r="H2908" s="26"/>
      <c r="I2908" s="26"/>
      <c r="J2908" s="26"/>
      <c r="K2908" s="26"/>
      <c r="L2908" s="26"/>
      <c r="M2908" s="26"/>
      <c r="N2908" s="26"/>
      <c r="P2908" s="222"/>
      <c r="Q2908" s="222"/>
      <c r="R2908" s="222"/>
      <c r="S2908" s="223"/>
      <c r="T2908" s="223"/>
      <c r="U2908" s="223"/>
      <c r="V2908" s="224"/>
      <c r="W2908" s="224"/>
    </row>
    <row r="2909" spans="1:23" s="27" customFormat="1" ht="15" customHeight="1" thickBot="1">
      <c r="A2909" s="2"/>
      <c r="B2909" s="2" t="s">
        <v>2317</v>
      </c>
      <c r="C2909" s="3">
        <v>60</v>
      </c>
      <c r="D2909" s="68" t="s">
        <v>2300</v>
      </c>
      <c r="E2909" s="68"/>
      <c r="F2909" s="320"/>
      <c r="G2909" s="69">
        <f>SUM(G2904:G2908)</f>
        <v>12565</v>
      </c>
      <c r="H2909" s="69">
        <f t="shared" ref="H2909:N2909" si="290">SUM(H2904:H2908)</f>
        <v>12817</v>
      </c>
      <c r="I2909" s="69">
        <f t="shared" si="290"/>
        <v>11593</v>
      </c>
      <c r="J2909" s="69">
        <f t="shared" si="290"/>
        <v>5094</v>
      </c>
      <c r="K2909" s="69">
        <f t="shared" si="290"/>
        <v>3500</v>
      </c>
      <c r="L2909" s="69">
        <f t="shared" si="290"/>
        <v>4020</v>
      </c>
      <c r="M2909" s="69">
        <f t="shared" si="290"/>
        <v>6000</v>
      </c>
      <c r="N2909" s="69">
        <f t="shared" si="290"/>
        <v>6000</v>
      </c>
      <c r="O2909" s="281"/>
      <c r="P2909" s="214">
        <v>2465</v>
      </c>
      <c r="Q2909" s="215">
        <v>60</v>
      </c>
      <c r="R2909" s="216" t="s">
        <v>2620</v>
      </c>
      <c r="S2909" s="217"/>
      <c r="T2909" s="218">
        <v>3500</v>
      </c>
      <c r="U2909" s="218">
        <v>515.33000000000004</v>
      </c>
      <c r="V2909" s="219">
        <v>4535.37</v>
      </c>
      <c r="W2909" s="219">
        <v>129.58000000000001</v>
      </c>
    </row>
    <row r="2910" spans="1:23" s="46" customFormat="1" ht="15" customHeight="1" thickTop="1">
      <c r="A2910" s="5"/>
      <c r="B2910" s="5"/>
      <c r="C2910" s="3">
        <v>60</v>
      </c>
      <c r="D2910" s="47"/>
      <c r="E2910" s="47"/>
      <c r="F2910" s="191"/>
      <c r="G2910" s="56"/>
      <c r="H2910" s="56"/>
      <c r="I2910" s="56"/>
      <c r="J2910" s="56"/>
      <c r="K2910" s="56"/>
      <c r="L2910" s="56"/>
      <c r="M2910" s="56"/>
      <c r="N2910" s="56"/>
      <c r="O2910" s="289"/>
      <c r="P2910" s="221"/>
      <c r="Q2910" s="221"/>
      <c r="R2910" s="221"/>
      <c r="S2910" s="221"/>
      <c r="T2910" s="221"/>
      <c r="U2910" s="221"/>
      <c r="V2910" s="221"/>
      <c r="W2910" s="221"/>
    </row>
    <row r="2911" spans="1:23" ht="15" customHeight="1">
      <c r="C2911" s="3">
        <v>60</v>
      </c>
      <c r="D2911" s="15" t="s">
        <v>2414</v>
      </c>
      <c r="G2911" s="26"/>
      <c r="H2911" s="26"/>
      <c r="I2911" s="26"/>
      <c r="J2911" s="26"/>
      <c r="K2911" s="26"/>
      <c r="L2911" s="26"/>
      <c r="M2911" s="26"/>
      <c r="N2911" s="26"/>
      <c r="P2911" s="222"/>
      <c r="Q2911" s="222"/>
      <c r="R2911" s="222"/>
      <c r="S2911" s="223"/>
      <c r="T2911" s="223"/>
      <c r="U2911" s="223"/>
      <c r="V2911" s="224"/>
      <c r="W2911" s="224"/>
    </row>
    <row r="2912" spans="1:23" ht="15" customHeight="1">
      <c r="C2912" s="3">
        <v>60</v>
      </c>
      <c r="G2912" s="26"/>
      <c r="H2912" s="26"/>
      <c r="I2912" s="26"/>
      <c r="J2912" s="26"/>
      <c r="K2912" s="26"/>
      <c r="L2912" s="26"/>
      <c r="M2912" s="26"/>
      <c r="N2912" s="26"/>
      <c r="P2912" s="214"/>
      <c r="Q2912" s="215"/>
      <c r="R2912" s="216"/>
      <c r="S2912" s="217"/>
      <c r="T2912" s="218"/>
      <c r="U2912" s="218"/>
      <c r="V2912" s="219"/>
      <c r="W2912" s="219"/>
    </row>
    <row r="2913" spans="1:23" ht="15" customHeight="1">
      <c r="C2913" s="3">
        <v>60</v>
      </c>
      <c r="D2913" s="15" t="s">
        <v>1902</v>
      </c>
      <c r="E2913" s="312" t="s">
        <v>1903</v>
      </c>
      <c r="G2913" s="26">
        <v>0</v>
      </c>
      <c r="H2913" s="26">
        <v>8000</v>
      </c>
      <c r="I2913" s="26">
        <v>25000</v>
      </c>
      <c r="J2913" s="26">
        <v>0</v>
      </c>
      <c r="K2913" s="26">
        <v>0</v>
      </c>
      <c r="L2913" s="26">
        <v>0</v>
      </c>
      <c r="M2913" s="26">
        <v>0</v>
      </c>
      <c r="N2913" s="26">
        <v>0</v>
      </c>
      <c r="O2913" s="285"/>
      <c r="P2913" s="214">
        <v>2473</v>
      </c>
      <c r="Q2913" s="215">
        <v>60</v>
      </c>
      <c r="R2913" s="216" t="s">
        <v>1902</v>
      </c>
      <c r="S2913" s="217" t="s">
        <v>1903</v>
      </c>
      <c r="T2913" s="218">
        <v>0</v>
      </c>
      <c r="U2913" s="218">
        <v>0</v>
      </c>
      <c r="V2913" s="219">
        <v>0</v>
      </c>
      <c r="W2913" s="219">
        <v>0</v>
      </c>
    </row>
    <row r="2914" spans="1:23" ht="15" customHeight="1">
      <c r="C2914" s="3">
        <v>60</v>
      </c>
      <c r="D2914" s="15" t="s">
        <v>1904</v>
      </c>
      <c r="E2914" s="312" t="s">
        <v>1905</v>
      </c>
      <c r="G2914" s="26">
        <v>27000</v>
      </c>
      <c r="H2914" s="26">
        <v>0</v>
      </c>
      <c r="I2914" s="26">
        <v>0</v>
      </c>
      <c r="J2914" s="26">
        <v>4380</v>
      </c>
      <c r="K2914" s="26">
        <v>50000</v>
      </c>
      <c r="L2914" s="26">
        <v>0</v>
      </c>
      <c r="M2914" s="26">
        <v>50000</v>
      </c>
      <c r="N2914" s="26">
        <f>+N56</f>
        <v>49750</v>
      </c>
      <c r="O2914" s="285" t="s">
        <v>3051</v>
      </c>
      <c r="P2914" s="214">
        <v>2474</v>
      </c>
      <c r="Q2914" s="215">
        <v>60</v>
      </c>
      <c r="R2914" s="216" t="s">
        <v>1904</v>
      </c>
      <c r="S2914" s="217" t="s">
        <v>1905</v>
      </c>
      <c r="T2914" s="218">
        <v>50000</v>
      </c>
      <c r="U2914" s="218">
        <v>0</v>
      </c>
      <c r="V2914" s="219">
        <v>0</v>
      </c>
      <c r="W2914" s="219">
        <v>0</v>
      </c>
    </row>
    <row r="2915" spans="1:23" ht="15" customHeight="1">
      <c r="C2915" s="3">
        <v>60</v>
      </c>
      <c r="G2915" s="26"/>
      <c r="H2915" s="26"/>
      <c r="I2915" s="26"/>
      <c r="J2915" s="26"/>
      <c r="K2915" s="26"/>
      <c r="L2915" s="26"/>
      <c r="M2915" s="26"/>
      <c r="N2915" s="26"/>
      <c r="P2915" s="222"/>
      <c r="Q2915" s="222"/>
      <c r="R2915" s="222"/>
      <c r="S2915" s="223"/>
      <c r="T2915" s="223"/>
      <c r="U2915" s="223"/>
      <c r="V2915" s="224"/>
      <c r="W2915" s="224"/>
    </row>
    <row r="2916" spans="1:23" s="66" customFormat="1" ht="15" customHeight="1">
      <c r="A2916" s="66" t="s">
        <v>2411</v>
      </c>
      <c r="B2916" s="66" t="s">
        <v>2317</v>
      </c>
      <c r="C2916" s="3">
        <v>60</v>
      </c>
      <c r="D2916" s="337" t="s">
        <v>2530</v>
      </c>
      <c r="E2916" s="337"/>
      <c r="F2916" s="338"/>
      <c r="G2916" s="322">
        <f>SUM(G2911:G2915)</f>
        <v>27000</v>
      </c>
      <c r="H2916" s="322">
        <f t="shared" ref="H2916:N2916" si="291">SUM(H2911:H2915)</f>
        <v>8000</v>
      </c>
      <c r="I2916" s="322">
        <f t="shared" si="291"/>
        <v>25000</v>
      </c>
      <c r="J2916" s="322">
        <f t="shared" si="291"/>
        <v>4380</v>
      </c>
      <c r="K2916" s="322">
        <f t="shared" si="291"/>
        <v>50000</v>
      </c>
      <c r="L2916" s="322">
        <f t="shared" si="291"/>
        <v>0</v>
      </c>
      <c r="M2916" s="322">
        <f t="shared" si="291"/>
        <v>50000</v>
      </c>
      <c r="N2916" s="322">
        <f t="shared" si="291"/>
        <v>49750</v>
      </c>
      <c r="O2916" s="298"/>
      <c r="P2916" s="227"/>
      <c r="Q2916" s="227"/>
      <c r="R2916" s="227"/>
      <c r="S2916" s="227"/>
      <c r="T2916" s="227"/>
      <c r="U2916" s="227"/>
      <c r="V2916" s="219">
        <v>0</v>
      </c>
      <c r="W2916" s="219">
        <v>0</v>
      </c>
    </row>
    <row r="2917" spans="1:23" ht="15" customHeight="1">
      <c r="C2917" s="3">
        <v>60</v>
      </c>
      <c r="G2917" s="26"/>
      <c r="H2917" s="26"/>
      <c r="I2917" s="26"/>
      <c r="J2917" s="26"/>
      <c r="K2917" s="26"/>
      <c r="L2917" s="26"/>
      <c r="M2917" s="26"/>
      <c r="N2917" s="26"/>
      <c r="P2917" s="214"/>
      <c r="Q2917" s="215"/>
      <c r="R2917" s="216"/>
      <c r="S2917" s="217"/>
      <c r="T2917" s="218"/>
      <c r="U2917" s="218"/>
      <c r="V2917" s="219"/>
      <c r="W2917" s="219"/>
    </row>
    <row r="2918" spans="1:23" ht="15" customHeight="1">
      <c r="C2918" s="3">
        <v>60</v>
      </c>
      <c r="D2918" s="15" t="s">
        <v>245</v>
      </c>
      <c r="G2918" s="26"/>
      <c r="H2918" s="26"/>
      <c r="I2918" s="26"/>
      <c r="J2918" s="26"/>
      <c r="K2918" s="26"/>
      <c r="L2918" s="26"/>
      <c r="M2918" s="26"/>
      <c r="N2918" s="26"/>
      <c r="P2918" s="214"/>
      <c r="Q2918" s="215"/>
      <c r="R2918" s="216"/>
      <c r="S2918" s="217"/>
      <c r="T2918" s="218"/>
      <c r="U2918" s="218"/>
      <c r="V2918" s="219"/>
      <c r="W2918" s="219"/>
    </row>
    <row r="2919" spans="1:23" ht="15" customHeight="1">
      <c r="C2919" s="3">
        <v>60</v>
      </c>
      <c r="G2919" s="26"/>
      <c r="H2919" s="26"/>
      <c r="I2919" s="26"/>
      <c r="J2919" s="26"/>
      <c r="K2919" s="26"/>
      <c r="L2919" s="26"/>
      <c r="M2919" s="26"/>
      <c r="N2919" s="26"/>
      <c r="P2919" s="214"/>
      <c r="Q2919" s="215"/>
      <c r="R2919" s="216"/>
      <c r="S2919" s="217"/>
      <c r="T2919" s="218"/>
      <c r="U2919" s="218"/>
      <c r="V2919" s="219"/>
      <c r="W2919" s="219"/>
    </row>
    <row r="2920" spans="1:23" ht="15" customHeight="1">
      <c r="C2920" s="3">
        <v>60</v>
      </c>
      <c r="D2920" s="14" t="s">
        <v>2529</v>
      </c>
      <c r="E2920" s="312" t="s">
        <v>329</v>
      </c>
      <c r="G2920" s="26">
        <v>0</v>
      </c>
      <c r="H2920" s="26">
        <v>0</v>
      </c>
      <c r="I2920" s="26">
        <v>0</v>
      </c>
      <c r="J2920" s="26">
        <v>0</v>
      </c>
      <c r="K2920" s="26">
        <v>0</v>
      </c>
      <c r="L2920" s="26">
        <v>2260</v>
      </c>
      <c r="M2920" s="26">
        <v>0</v>
      </c>
      <c r="N2920" s="26">
        <v>0</v>
      </c>
      <c r="O2920" s="285"/>
      <c r="P2920" s="214">
        <v>2468</v>
      </c>
      <c r="Q2920" s="215">
        <v>60</v>
      </c>
      <c r="R2920" s="216" t="s">
        <v>2529</v>
      </c>
      <c r="S2920" s="217" t="s">
        <v>329</v>
      </c>
      <c r="T2920" s="218">
        <v>0</v>
      </c>
      <c r="U2920" s="218">
        <v>0</v>
      </c>
      <c r="V2920" s="219">
        <v>2259.87</v>
      </c>
      <c r="W2920" s="219">
        <v>0</v>
      </c>
    </row>
    <row r="2921" spans="1:23" ht="15" customHeight="1">
      <c r="C2921" s="3">
        <v>60</v>
      </c>
      <c r="D2921" s="14" t="s">
        <v>765</v>
      </c>
      <c r="E2921" s="312" t="s">
        <v>329</v>
      </c>
      <c r="G2921" s="26">
        <v>0</v>
      </c>
      <c r="H2921" s="26">
        <v>0</v>
      </c>
      <c r="I2921" s="26">
        <v>0</v>
      </c>
      <c r="J2921" s="26">
        <v>7415</v>
      </c>
      <c r="K2921" s="26">
        <v>0</v>
      </c>
      <c r="L2921" s="26">
        <v>0</v>
      </c>
      <c r="M2921" s="26">
        <v>2260</v>
      </c>
      <c r="N2921" s="26">
        <v>0</v>
      </c>
      <c r="O2921" s="285"/>
      <c r="P2921" s="214">
        <v>2481</v>
      </c>
      <c r="Q2921" s="215">
        <v>60</v>
      </c>
      <c r="R2921" s="216" t="s">
        <v>765</v>
      </c>
      <c r="S2921" s="217" t="s">
        <v>329</v>
      </c>
      <c r="T2921" s="218">
        <v>0</v>
      </c>
      <c r="U2921" s="218">
        <v>0</v>
      </c>
      <c r="V2921" s="219">
        <v>0</v>
      </c>
      <c r="W2921" s="219">
        <v>0</v>
      </c>
    </row>
    <row r="2922" spans="1:23" ht="15" customHeight="1">
      <c r="C2922" s="3">
        <v>60</v>
      </c>
      <c r="G2922" s="26"/>
      <c r="H2922" s="26"/>
      <c r="I2922" s="26"/>
      <c r="J2922" s="26"/>
      <c r="K2922" s="26"/>
      <c r="L2922" s="26"/>
      <c r="M2922" s="26"/>
      <c r="N2922" s="26"/>
      <c r="P2922" s="214"/>
      <c r="Q2922" s="215"/>
      <c r="R2922" s="216"/>
      <c r="S2922" s="217"/>
      <c r="T2922" s="218"/>
      <c r="U2922" s="218"/>
      <c r="V2922" s="219"/>
      <c r="W2922" s="219"/>
    </row>
    <row r="2923" spans="1:23" s="66" customFormat="1" ht="15" customHeight="1">
      <c r="A2923" s="66" t="s">
        <v>2411</v>
      </c>
      <c r="B2923" s="66" t="s">
        <v>2317</v>
      </c>
      <c r="C2923" s="3">
        <v>60</v>
      </c>
      <c r="D2923" s="323" t="s">
        <v>1971</v>
      </c>
      <c r="E2923" s="323"/>
      <c r="F2923" s="338"/>
      <c r="G2923" s="322">
        <f>SUM(G2920:G2922)</f>
        <v>0</v>
      </c>
      <c r="H2923" s="322">
        <f t="shared" ref="H2923:M2923" si="292">SUM(H2920:H2922)</f>
        <v>0</v>
      </c>
      <c r="I2923" s="322">
        <f t="shared" si="292"/>
        <v>0</v>
      </c>
      <c r="J2923" s="322">
        <f t="shared" si="292"/>
        <v>7415</v>
      </c>
      <c r="K2923" s="322">
        <f t="shared" si="292"/>
        <v>0</v>
      </c>
      <c r="L2923" s="322">
        <f t="shared" si="292"/>
        <v>2260</v>
      </c>
      <c r="M2923" s="322">
        <f t="shared" si="292"/>
        <v>2260</v>
      </c>
      <c r="N2923" s="322">
        <f>SUM(N2918:N2922)</f>
        <v>0</v>
      </c>
      <c r="O2923" s="311"/>
      <c r="P2923" s="227"/>
      <c r="Q2923" s="227"/>
      <c r="R2923" s="227"/>
      <c r="S2923" s="227"/>
      <c r="T2923" s="227"/>
      <c r="U2923" s="227"/>
      <c r="V2923" s="219">
        <v>2259.87</v>
      </c>
      <c r="W2923" s="219">
        <v>4.5199999999999996</v>
      </c>
    </row>
    <row r="2924" spans="1:23" ht="15" customHeight="1">
      <c r="C2924" s="3">
        <v>60</v>
      </c>
      <c r="G2924" s="26"/>
      <c r="H2924" s="26"/>
      <c r="I2924" s="26"/>
      <c r="J2924" s="26"/>
      <c r="K2924" s="26"/>
      <c r="L2924" s="26"/>
      <c r="M2924" s="26"/>
      <c r="N2924" s="26"/>
      <c r="P2924" s="222"/>
      <c r="Q2924" s="222"/>
      <c r="R2924" s="222"/>
      <c r="S2924" s="223"/>
      <c r="T2924" s="223"/>
      <c r="U2924" s="223"/>
      <c r="V2924" s="224"/>
      <c r="W2924" s="224"/>
    </row>
    <row r="2925" spans="1:23" ht="15" customHeight="1">
      <c r="B2925" s="2" t="s">
        <v>2317</v>
      </c>
      <c r="C2925" s="3">
        <v>60</v>
      </c>
      <c r="D2925" s="47" t="s">
        <v>2575</v>
      </c>
      <c r="G2925" s="26">
        <f>+G2923+G2916</f>
        <v>27000</v>
      </c>
      <c r="H2925" s="26">
        <f t="shared" ref="H2925:N2925" si="293">+H2923+H2916</f>
        <v>8000</v>
      </c>
      <c r="I2925" s="26">
        <f t="shared" si="293"/>
        <v>25000</v>
      </c>
      <c r="J2925" s="26">
        <f t="shared" si="293"/>
        <v>11795</v>
      </c>
      <c r="K2925" s="26">
        <f t="shared" si="293"/>
        <v>50000</v>
      </c>
      <c r="L2925" s="26">
        <f t="shared" si="293"/>
        <v>2260</v>
      </c>
      <c r="M2925" s="26">
        <f t="shared" si="293"/>
        <v>52260</v>
      </c>
      <c r="N2925" s="26">
        <f t="shared" si="293"/>
        <v>49750</v>
      </c>
      <c r="P2925" s="223"/>
      <c r="Q2925" s="223"/>
      <c r="R2925" s="223"/>
      <c r="S2925" s="223"/>
      <c r="T2925" s="223"/>
      <c r="U2925" s="223"/>
      <c r="V2925" s="223"/>
      <c r="W2925" s="223"/>
    </row>
    <row r="2926" spans="1:23" ht="15" customHeight="1">
      <c r="C2926" s="3">
        <v>60</v>
      </c>
      <c r="D2926" s="47"/>
      <c r="G2926" s="26"/>
      <c r="H2926" s="26"/>
      <c r="I2926" s="26"/>
      <c r="J2926" s="26"/>
      <c r="K2926" s="26"/>
      <c r="L2926" s="26"/>
      <c r="M2926" s="26"/>
      <c r="N2926" s="26"/>
      <c r="P2926" s="222"/>
      <c r="Q2926" s="222"/>
      <c r="R2926" s="222"/>
      <c r="S2926" s="223"/>
      <c r="T2926" s="223"/>
      <c r="U2926" s="223"/>
      <c r="V2926" s="224"/>
      <c r="W2926" s="224"/>
    </row>
    <row r="2927" spans="1:23" s="31" customFormat="1" ht="15" customHeight="1">
      <c r="A2927" s="2"/>
      <c r="B2927" s="2" t="s">
        <v>2317</v>
      </c>
      <c r="C2927" s="3">
        <v>60</v>
      </c>
      <c r="D2927" s="54" t="s">
        <v>2277</v>
      </c>
      <c r="E2927" s="54"/>
      <c r="F2927" s="192"/>
      <c r="G2927" s="339">
        <f>+G2925</f>
        <v>27000</v>
      </c>
      <c r="H2927" s="339">
        <f t="shared" ref="H2927:N2927" si="294">+H2925</f>
        <v>8000</v>
      </c>
      <c r="I2927" s="339">
        <f t="shared" si="294"/>
        <v>25000</v>
      </c>
      <c r="J2927" s="339">
        <f t="shared" si="294"/>
        <v>11795</v>
      </c>
      <c r="K2927" s="339">
        <f t="shared" si="294"/>
        <v>50000</v>
      </c>
      <c r="L2927" s="339">
        <f t="shared" si="294"/>
        <v>2260</v>
      </c>
      <c r="M2927" s="339">
        <f t="shared" si="294"/>
        <v>52260</v>
      </c>
      <c r="N2927" s="339">
        <f t="shared" si="294"/>
        <v>49750</v>
      </c>
      <c r="O2927" s="305"/>
      <c r="P2927" s="214">
        <v>2486</v>
      </c>
      <c r="Q2927" s="215">
        <v>60</v>
      </c>
      <c r="R2927" s="216" t="s">
        <v>2618</v>
      </c>
      <c r="S2927" s="217"/>
      <c r="T2927" s="218">
        <v>50000</v>
      </c>
      <c r="U2927" s="218">
        <v>0</v>
      </c>
      <c r="V2927" s="219">
        <v>2259.87</v>
      </c>
      <c r="W2927" s="219">
        <v>4.5199999999999996</v>
      </c>
    </row>
    <row r="2928" spans="1:23" s="46" customFormat="1" ht="15" customHeight="1">
      <c r="A2928" s="5"/>
      <c r="B2928" s="5"/>
      <c r="C2928" s="3">
        <v>60</v>
      </c>
      <c r="D2928" s="47"/>
      <c r="E2928" s="47"/>
      <c r="F2928" s="191"/>
      <c r="G2928" s="56"/>
      <c r="H2928" s="56"/>
      <c r="I2928" s="56"/>
      <c r="J2928" s="56"/>
      <c r="K2928" s="56"/>
      <c r="L2928" s="56"/>
      <c r="M2928" s="56"/>
      <c r="N2928" s="56"/>
      <c r="O2928" s="289"/>
      <c r="P2928" s="221"/>
      <c r="Q2928" s="221"/>
      <c r="R2928" s="221"/>
      <c r="S2928" s="221"/>
      <c r="T2928" s="221"/>
      <c r="U2928" s="221"/>
      <c r="V2928" s="221"/>
      <c r="W2928" s="221"/>
    </row>
    <row r="2929" spans="1:23" s="33" customFormat="1" ht="15" customHeight="1" thickBot="1">
      <c r="A2929" s="2"/>
      <c r="B2929" s="2" t="s">
        <v>2317</v>
      </c>
      <c r="C2929" s="3">
        <v>60</v>
      </c>
      <c r="D2929" s="329" t="s">
        <v>2252</v>
      </c>
      <c r="E2929" s="329"/>
      <c r="F2929" s="330"/>
      <c r="G2929" s="336">
        <f t="shared" ref="G2929:N2929" si="295">+G2909-G2927</f>
        <v>-14435</v>
      </c>
      <c r="H2929" s="336">
        <f t="shared" si="295"/>
        <v>4817</v>
      </c>
      <c r="I2929" s="336">
        <f t="shared" si="295"/>
        <v>-13407</v>
      </c>
      <c r="J2929" s="336">
        <f t="shared" si="295"/>
        <v>-6701</v>
      </c>
      <c r="K2929" s="336">
        <f t="shared" si="295"/>
        <v>-46500</v>
      </c>
      <c r="L2929" s="336">
        <f t="shared" si="295"/>
        <v>1760</v>
      </c>
      <c r="M2929" s="336">
        <f t="shared" si="295"/>
        <v>-46260</v>
      </c>
      <c r="N2929" s="336">
        <f t="shared" si="295"/>
        <v>-43750</v>
      </c>
      <c r="O2929" s="301"/>
      <c r="P2929" s="214">
        <v>2487</v>
      </c>
      <c r="Q2929" s="215">
        <v>60</v>
      </c>
      <c r="R2929" s="216" t="s">
        <v>2619</v>
      </c>
      <c r="S2929" s="217"/>
      <c r="T2929" s="218">
        <v>-46500</v>
      </c>
      <c r="U2929" s="218">
        <v>515.33000000000004</v>
      </c>
      <c r="V2929" s="219">
        <v>2275.5</v>
      </c>
      <c r="W2929" s="219">
        <v>0</v>
      </c>
    </row>
    <row r="2930" spans="1:23" s="46" customFormat="1" ht="15" customHeight="1" thickTop="1">
      <c r="A2930" s="5"/>
      <c r="B2930" s="5"/>
      <c r="C2930" s="3">
        <v>60</v>
      </c>
      <c r="D2930" s="47"/>
      <c r="E2930" s="47"/>
      <c r="F2930" s="191"/>
      <c r="G2930" s="56"/>
      <c r="H2930" s="56"/>
      <c r="I2930" s="56"/>
      <c r="J2930" s="56"/>
      <c r="K2930" s="56"/>
      <c r="L2930" s="56"/>
      <c r="M2930" s="56"/>
      <c r="N2930" s="56"/>
      <c r="O2930" s="289"/>
      <c r="P2930" s="221"/>
      <c r="Q2930" s="221"/>
      <c r="R2930" s="221"/>
      <c r="S2930" s="221"/>
      <c r="T2930" s="221"/>
      <c r="U2930" s="221"/>
      <c r="V2930" s="221"/>
      <c r="W2930" s="221"/>
    </row>
    <row r="2931" spans="1:23" ht="15" customHeight="1">
      <c r="C2931" s="3">
        <v>60</v>
      </c>
      <c r="D2931" s="54" t="s">
        <v>2875</v>
      </c>
      <c r="E2931" s="54"/>
      <c r="F2931" s="192"/>
      <c r="G2931" s="55"/>
      <c r="H2931" s="55"/>
      <c r="I2931" s="55"/>
      <c r="J2931" s="55">
        <f>J2887+J2929</f>
        <v>357006.34</v>
      </c>
      <c r="K2931" s="55">
        <f>+K2903</f>
        <v>310506.34000000003</v>
      </c>
      <c r="L2931" s="55"/>
      <c r="M2931" s="55">
        <f>+M2903</f>
        <v>310746.34000000003</v>
      </c>
      <c r="N2931" s="55">
        <f>+N2903</f>
        <v>266996.34000000003</v>
      </c>
      <c r="O2931" s="253"/>
      <c r="P2931" s="203"/>
      <c r="Q2931" s="204"/>
      <c r="R2931" s="205"/>
      <c r="S2931" s="206"/>
      <c r="T2931" s="207"/>
      <c r="U2931" s="207"/>
      <c r="V2931" s="208"/>
      <c r="W2931" s="212"/>
    </row>
    <row r="2932" spans="1:23" s="46" customFormat="1" ht="15" customHeight="1">
      <c r="A2932" s="195"/>
      <c r="B2932" s="195"/>
      <c r="C2932" s="3">
        <v>60</v>
      </c>
      <c r="D2932" s="47"/>
      <c r="E2932" s="47"/>
      <c r="F2932" s="191"/>
      <c r="G2932" s="56"/>
      <c r="H2932" s="56"/>
      <c r="I2932" s="56"/>
      <c r="J2932" s="56"/>
      <c r="K2932" s="56"/>
      <c r="L2932" s="56"/>
      <c r="M2932" s="56"/>
      <c r="N2932" s="56"/>
      <c r="O2932" s="289"/>
      <c r="P2932" s="221"/>
      <c r="Q2932" s="221"/>
      <c r="R2932" s="221"/>
      <c r="S2932" s="221"/>
      <c r="T2932" s="221"/>
      <c r="U2932" s="221"/>
      <c r="V2932" s="221"/>
      <c r="W2932" s="221"/>
    </row>
    <row r="2933" spans="1:23" s="35" customFormat="1" ht="15" customHeight="1">
      <c r="A2933" s="2"/>
      <c r="B2933" s="2"/>
      <c r="C2933" s="3">
        <v>60</v>
      </c>
      <c r="D2933" s="47" t="s">
        <v>1976</v>
      </c>
      <c r="E2933" s="47"/>
      <c r="F2933" s="191"/>
      <c r="G2933" s="48"/>
      <c r="H2933" s="48"/>
      <c r="I2933" s="48"/>
      <c r="J2933" s="48"/>
      <c r="K2933" s="48"/>
      <c r="L2933" s="48"/>
      <c r="M2933" s="48"/>
      <c r="N2933" s="48"/>
      <c r="O2933" s="276"/>
      <c r="P2933" s="214">
        <v>2488</v>
      </c>
      <c r="Q2933" s="215">
        <v>60</v>
      </c>
      <c r="R2933" s="216" t="s">
        <v>2630</v>
      </c>
      <c r="S2933" s="217"/>
      <c r="T2933" s="218"/>
      <c r="U2933" s="218"/>
      <c r="V2933" s="219"/>
      <c r="W2933" s="219"/>
    </row>
    <row r="2934" spans="1:23" s="35" customFormat="1" ht="15" customHeight="1">
      <c r="A2934" s="2"/>
      <c r="B2934" s="2"/>
      <c r="C2934" s="3"/>
      <c r="D2934" s="47"/>
      <c r="E2934" s="47"/>
      <c r="F2934" s="191"/>
      <c r="G2934" s="48"/>
      <c r="H2934" s="48"/>
      <c r="I2934" s="48"/>
      <c r="J2934" s="48"/>
      <c r="K2934" s="48"/>
      <c r="L2934" s="48"/>
      <c r="M2934" s="48"/>
      <c r="N2934" s="48"/>
      <c r="O2934" s="276"/>
    </row>
    <row r="2935" spans="1:23" s="35" customFormat="1" ht="15" customHeight="1">
      <c r="A2935" s="2"/>
      <c r="B2935" s="2"/>
      <c r="C2935" s="3">
        <v>65</v>
      </c>
      <c r="D2935" s="47" t="s">
        <v>2650</v>
      </c>
      <c r="E2935" s="47"/>
      <c r="F2935" s="191"/>
      <c r="G2935" s="48"/>
      <c r="H2935" s="48"/>
      <c r="I2935" s="48"/>
      <c r="J2935" s="48"/>
      <c r="K2935" s="48"/>
      <c r="L2935" s="48"/>
      <c r="M2935" s="48"/>
      <c r="N2935" s="48"/>
      <c r="O2935" s="276"/>
    </row>
    <row r="2936" spans="1:23" s="35" customFormat="1" ht="15" customHeight="1">
      <c r="A2936" s="2"/>
      <c r="B2936" s="2"/>
      <c r="C2936" s="3">
        <v>65</v>
      </c>
      <c r="D2936" s="47"/>
      <c r="E2936" s="47"/>
      <c r="F2936" s="191"/>
      <c r="G2936" s="48"/>
      <c r="H2936" s="48"/>
      <c r="I2936" s="48"/>
      <c r="J2936" s="48"/>
      <c r="K2936" s="48"/>
      <c r="L2936" s="48"/>
      <c r="M2936" s="48"/>
      <c r="N2936" s="48"/>
      <c r="O2936" s="276"/>
    </row>
    <row r="2937" spans="1:23" ht="15" customHeight="1">
      <c r="C2937" s="3">
        <v>65</v>
      </c>
      <c r="D2937" s="54" t="s">
        <v>2874</v>
      </c>
      <c r="E2937" s="54"/>
      <c r="F2937" s="192"/>
      <c r="G2937" s="55"/>
      <c r="H2937" s="55"/>
      <c r="I2937" s="55"/>
      <c r="J2937" s="55"/>
      <c r="K2937" s="55"/>
      <c r="L2937" s="55"/>
      <c r="M2937" s="55"/>
      <c r="N2937" s="55">
        <f>+M2953</f>
        <v>0</v>
      </c>
      <c r="O2937" s="278"/>
      <c r="P2937" s="203"/>
      <c r="Q2937" s="204"/>
      <c r="R2937" s="205"/>
      <c r="S2937" s="206"/>
      <c r="T2937" s="207"/>
      <c r="U2937" s="207"/>
      <c r="V2937" s="208"/>
      <c r="W2937" s="212"/>
    </row>
    <row r="2938" spans="1:23" s="35" customFormat="1" ht="15" customHeight="1">
      <c r="A2938" s="2"/>
      <c r="B2938" s="2"/>
      <c r="C2938" s="3">
        <v>65</v>
      </c>
      <c r="D2938" s="47"/>
      <c r="E2938" s="47"/>
      <c r="F2938" s="191"/>
      <c r="G2938" s="48"/>
      <c r="H2938" s="48"/>
      <c r="I2938" s="48"/>
      <c r="J2938" s="48"/>
      <c r="K2938" s="48"/>
      <c r="L2938" s="48"/>
      <c r="M2938" s="48"/>
      <c r="N2938" s="48"/>
      <c r="O2938" s="276"/>
    </row>
    <row r="2939" spans="1:23" s="35" customFormat="1" ht="15" customHeight="1">
      <c r="A2939" s="2"/>
      <c r="B2939" s="2"/>
      <c r="C2939" s="3">
        <v>65</v>
      </c>
      <c r="D2939" s="47" t="s">
        <v>2651</v>
      </c>
      <c r="E2939" s="15"/>
      <c r="F2939" s="191"/>
      <c r="G2939" s="48"/>
      <c r="H2939" s="48"/>
      <c r="I2939" s="48"/>
      <c r="J2939" s="48"/>
      <c r="K2939" s="48"/>
      <c r="L2939" s="48"/>
      <c r="M2939" s="48"/>
      <c r="N2939" s="48"/>
      <c r="O2939" s="276"/>
      <c r="P2939" s="214">
        <v>2489</v>
      </c>
      <c r="Q2939" s="215">
        <v>65</v>
      </c>
      <c r="R2939" s="216" t="s">
        <v>2610</v>
      </c>
      <c r="S2939" s="217"/>
      <c r="T2939" s="218"/>
      <c r="U2939" s="218"/>
      <c r="V2939" s="219"/>
      <c r="W2939" s="219"/>
    </row>
    <row r="2940" spans="1:23" s="35" customFormat="1" ht="15" customHeight="1">
      <c r="A2940" s="2"/>
      <c r="B2940" s="2"/>
      <c r="C2940" s="3">
        <v>65</v>
      </c>
      <c r="D2940" s="15"/>
      <c r="E2940" s="15"/>
      <c r="F2940" s="191"/>
      <c r="G2940" s="48"/>
      <c r="H2940" s="48"/>
      <c r="I2940" s="48"/>
      <c r="J2940" s="48"/>
      <c r="K2940" s="48"/>
      <c r="L2940" s="48"/>
      <c r="M2940" s="48"/>
      <c r="N2940" s="48"/>
      <c r="O2940" s="276"/>
      <c r="P2940" s="214">
        <v>2490</v>
      </c>
      <c r="Q2940" s="215">
        <v>65</v>
      </c>
      <c r="R2940" s="216" t="s">
        <v>2611</v>
      </c>
      <c r="S2940" s="217"/>
      <c r="T2940" s="218"/>
      <c r="U2940" s="218"/>
      <c r="V2940" s="219"/>
      <c r="W2940" s="219"/>
    </row>
    <row r="2941" spans="1:23" s="35" customFormat="1" ht="15" customHeight="1">
      <c r="A2941" s="2"/>
      <c r="B2941" s="2"/>
      <c r="C2941" s="3">
        <v>65</v>
      </c>
      <c r="D2941" s="54" t="s">
        <v>2652</v>
      </c>
      <c r="E2941" s="54"/>
      <c r="F2941" s="191"/>
      <c r="G2941" s="48"/>
      <c r="H2941" s="48">
        <f t="shared" ref="H2941:N2941" si="296">+H2958</f>
        <v>0</v>
      </c>
      <c r="I2941" s="48">
        <f t="shared" si="296"/>
        <v>0</v>
      </c>
      <c r="J2941" s="48">
        <f t="shared" si="296"/>
        <v>0</v>
      </c>
      <c r="K2941" s="48">
        <f t="shared" si="296"/>
        <v>0</v>
      </c>
      <c r="L2941" s="48">
        <f t="shared" si="296"/>
        <v>0</v>
      </c>
      <c r="M2941" s="48">
        <f t="shared" si="296"/>
        <v>3066</v>
      </c>
      <c r="N2941" s="48">
        <f t="shared" si="296"/>
        <v>0</v>
      </c>
      <c r="O2941" s="276"/>
      <c r="P2941" s="214">
        <v>2491</v>
      </c>
      <c r="Q2941" s="215">
        <v>65</v>
      </c>
      <c r="R2941" s="216" t="s">
        <v>2612</v>
      </c>
      <c r="S2941" s="217"/>
      <c r="T2941" s="218">
        <v>0</v>
      </c>
      <c r="U2941" s="218">
        <v>0</v>
      </c>
      <c r="V2941" s="219">
        <v>0</v>
      </c>
      <c r="W2941" s="219">
        <v>0</v>
      </c>
    </row>
    <row r="2942" spans="1:23" s="35" customFormat="1" ht="15" customHeight="1">
      <c r="A2942" s="2"/>
      <c r="B2942" s="2"/>
      <c r="C2942" s="3">
        <v>65</v>
      </c>
      <c r="D2942" s="54"/>
      <c r="E2942" s="54"/>
      <c r="F2942" s="191"/>
      <c r="G2942" s="48"/>
      <c r="H2942" s="48"/>
      <c r="I2942" s="48"/>
      <c r="J2942" s="48"/>
      <c r="K2942" s="48"/>
      <c r="L2942" s="48"/>
      <c r="M2942" s="48"/>
      <c r="N2942" s="48"/>
      <c r="O2942" s="276"/>
      <c r="P2942" s="224"/>
      <c r="Q2942" s="224"/>
      <c r="R2942" s="224"/>
      <c r="S2942" s="224"/>
      <c r="T2942" s="224"/>
      <c r="U2942" s="224"/>
      <c r="V2942" s="224"/>
      <c r="W2942" s="224"/>
    </row>
    <row r="2943" spans="1:23" s="35" customFormat="1" ht="15" customHeight="1" thickBot="1">
      <c r="A2943" s="2"/>
      <c r="B2943" s="2"/>
      <c r="C2943" s="3">
        <v>65</v>
      </c>
      <c r="D2943" s="68" t="str">
        <f>+D2958</f>
        <v>*** TOTAL FUND 65 REVENUES ***</v>
      </c>
      <c r="E2943" s="68"/>
      <c r="F2943" s="191"/>
      <c r="G2943" s="48"/>
      <c r="H2943" s="48">
        <f t="shared" ref="H2943:N2943" si="297">+H2941</f>
        <v>0</v>
      </c>
      <c r="I2943" s="48">
        <f t="shared" si="297"/>
        <v>0</v>
      </c>
      <c r="J2943" s="48">
        <f t="shared" si="297"/>
        <v>0</v>
      </c>
      <c r="K2943" s="48">
        <f t="shared" si="297"/>
        <v>0</v>
      </c>
      <c r="L2943" s="48">
        <f t="shared" si="297"/>
        <v>0</v>
      </c>
      <c r="M2943" s="48">
        <f t="shared" si="297"/>
        <v>3066</v>
      </c>
      <c r="N2943" s="48">
        <f t="shared" si="297"/>
        <v>0</v>
      </c>
      <c r="O2943" s="276"/>
      <c r="P2943" s="214">
        <v>2492</v>
      </c>
      <c r="Q2943" s="215">
        <v>65</v>
      </c>
      <c r="R2943" s="216" t="s">
        <v>2613</v>
      </c>
      <c r="S2943" s="217"/>
      <c r="T2943" s="218">
        <v>0</v>
      </c>
      <c r="U2943" s="218">
        <v>0</v>
      </c>
      <c r="V2943" s="219">
        <v>0</v>
      </c>
      <c r="W2943" s="219">
        <v>0</v>
      </c>
    </row>
    <row r="2944" spans="1:23" s="35" customFormat="1" ht="15" customHeight="1" thickTop="1">
      <c r="A2944" s="2"/>
      <c r="B2944" s="2"/>
      <c r="C2944" s="3">
        <v>65</v>
      </c>
      <c r="D2944" s="47"/>
      <c r="E2944" s="47"/>
      <c r="F2944" s="191"/>
      <c r="G2944" s="48"/>
      <c r="H2944" s="48"/>
      <c r="I2944" s="48"/>
      <c r="J2944" s="48"/>
      <c r="K2944" s="48"/>
      <c r="L2944" s="48"/>
      <c r="M2944" s="48"/>
      <c r="N2944" s="48"/>
      <c r="O2944" s="276"/>
      <c r="P2944" s="224"/>
      <c r="Q2944" s="224"/>
      <c r="R2944" s="224"/>
      <c r="S2944" s="224"/>
      <c r="T2944" s="224"/>
      <c r="U2944" s="224"/>
      <c r="V2944" s="224"/>
      <c r="W2944" s="224"/>
    </row>
    <row r="2945" spans="1:23" s="35" customFormat="1" ht="15" customHeight="1">
      <c r="A2945" s="2"/>
      <c r="B2945" s="2"/>
      <c r="C2945" s="3">
        <v>65</v>
      </c>
      <c r="D2945" s="47" t="s">
        <v>1977</v>
      </c>
      <c r="E2945" s="15"/>
      <c r="F2945" s="191"/>
      <c r="G2945" s="48"/>
      <c r="H2945" s="48"/>
      <c r="I2945" s="48"/>
      <c r="J2945" s="48"/>
      <c r="K2945" s="48"/>
      <c r="L2945" s="48"/>
      <c r="M2945" s="48"/>
      <c r="N2945" s="48"/>
      <c r="O2945" s="276"/>
      <c r="P2945" s="214">
        <v>2493</v>
      </c>
      <c r="Q2945" s="215">
        <v>65</v>
      </c>
      <c r="R2945" s="216" t="s">
        <v>2614</v>
      </c>
      <c r="S2945" s="217"/>
      <c r="T2945" s="218"/>
      <c r="U2945" s="218"/>
      <c r="V2945" s="219"/>
      <c r="W2945" s="219"/>
    </row>
    <row r="2946" spans="1:23" s="35" customFormat="1" ht="15" customHeight="1">
      <c r="A2946" s="2"/>
      <c r="B2946" s="2"/>
      <c r="C2946" s="3">
        <v>65</v>
      </c>
      <c r="D2946" s="15"/>
      <c r="E2946" s="15"/>
      <c r="F2946" s="191"/>
      <c r="G2946" s="48"/>
      <c r="H2946" s="48"/>
      <c r="I2946" s="48"/>
      <c r="J2946" s="48"/>
      <c r="K2946" s="48"/>
      <c r="L2946" s="48"/>
      <c r="M2946" s="48"/>
      <c r="N2946" s="48"/>
      <c r="O2946" s="276"/>
      <c r="P2946" s="214">
        <v>2494</v>
      </c>
      <c r="Q2946" s="215">
        <v>65</v>
      </c>
      <c r="R2946" s="216" t="s">
        <v>2615</v>
      </c>
      <c r="S2946" s="217"/>
      <c r="T2946" s="218"/>
      <c r="U2946" s="218"/>
      <c r="V2946" s="219"/>
      <c r="W2946" s="219"/>
    </row>
    <row r="2947" spans="1:23" s="35" customFormat="1" ht="15" customHeight="1">
      <c r="A2947" s="2"/>
      <c r="B2947" s="2"/>
      <c r="C2947" s="3">
        <v>65</v>
      </c>
      <c r="D2947" s="47" t="s">
        <v>1667</v>
      </c>
      <c r="E2947" s="15"/>
      <c r="F2947" s="191"/>
      <c r="G2947" s="48"/>
      <c r="H2947" s="48"/>
      <c r="I2947" s="48"/>
      <c r="J2947" s="48"/>
      <c r="K2947" s="48"/>
      <c r="L2947" s="48"/>
      <c r="M2947" s="48"/>
      <c r="N2947" s="48"/>
      <c r="O2947" s="276"/>
      <c r="P2947" s="214">
        <v>2495</v>
      </c>
      <c r="Q2947" s="215">
        <v>65</v>
      </c>
      <c r="R2947" s="216" t="s">
        <v>1667</v>
      </c>
      <c r="S2947" s="217"/>
      <c r="T2947" s="218">
        <v>0</v>
      </c>
      <c r="U2947" s="218">
        <v>0</v>
      </c>
      <c r="V2947" s="219">
        <v>0</v>
      </c>
      <c r="W2947" s="219">
        <v>0</v>
      </c>
    </row>
    <row r="2948" spans="1:23" s="35" customFormat="1" ht="15" customHeight="1">
      <c r="A2948" s="2"/>
      <c r="B2948" s="2"/>
      <c r="C2948" s="3">
        <v>65</v>
      </c>
      <c r="D2948" s="47"/>
      <c r="E2948" s="15"/>
      <c r="F2948" s="191"/>
      <c r="G2948" s="48"/>
      <c r="H2948" s="48"/>
      <c r="I2948" s="48"/>
      <c r="J2948" s="48"/>
      <c r="K2948" s="48"/>
      <c r="L2948" s="48"/>
      <c r="M2948" s="48"/>
      <c r="N2948" s="48"/>
      <c r="O2948" s="276"/>
      <c r="P2948" s="224"/>
      <c r="Q2948" s="224"/>
      <c r="R2948" s="224"/>
      <c r="S2948" s="224"/>
      <c r="T2948" s="224"/>
      <c r="U2948" s="224"/>
      <c r="V2948" s="224"/>
      <c r="W2948" s="224"/>
    </row>
    <row r="2949" spans="1:23" s="35" customFormat="1" ht="15" customHeight="1">
      <c r="A2949" s="2"/>
      <c r="B2949" s="2"/>
      <c r="C2949" s="3">
        <v>65</v>
      </c>
      <c r="D2949" s="54" t="str">
        <f>+D2968</f>
        <v>*** TOTAL FUND 65 EXPENSES ***</v>
      </c>
      <c r="E2949" s="54"/>
      <c r="F2949" s="191"/>
      <c r="G2949" s="48"/>
      <c r="H2949" s="48">
        <f t="shared" ref="H2949:N2949" si="298">+H2968</f>
        <v>0</v>
      </c>
      <c r="I2949" s="48">
        <f t="shared" si="298"/>
        <v>0</v>
      </c>
      <c r="J2949" s="48">
        <f t="shared" si="298"/>
        <v>0</v>
      </c>
      <c r="K2949" s="48">
        <f t="shared" si="298"/>
        <v>0</v>
      </c>
      <c r="L2949" s="48">
        <f t="shared" si="298"/>
        <v>0</v>
      </c>
      <c r="M2949" s="48">
        <f t="shared" si="298"/>
        <v>3066</v>
      </c>
      <c r="N2949" s="48">
        <f t="shared" si="298"/>
        <v>0</v>
      </c>
      <c r="O2949" s="276"/>
      <c r="P2949" s="214">
        <v>2496</v>
      </c>
      <c r="Q2949" s="215">
        <v>65</v>
      </c>
      <c r="R2949" s="216" t="s">
        <v>2618</v>
      </c>
      <c r="S2949" s="217"/>
      <c r="T2949" s="218">
        <v>0</v>
      </c>
      <c r="U2949" s="218">
        <v>0</v>
      </c>
      <c r="V2949" s="219">
        <v>0</v>
      </c>
      <c r="W2949" s="219">
        <v>0</v>
      </c>
    </row>
    <row r="2950" spans="1:23" s="35" customFormat="1" ht="15" customHeight="1">
      <c r="A2950" s="2"/>
      <c r="B2950" s="2"/>
      <c r="C2950" s="3">
        <v>65</v>
      </c>
      <c r="D2950" s="47"/>
      <c r="E2950" s="47"/>
      <c r="F2950" s="191"/>
      <c r="G2950" s="48"/>
      <c r="H2950" s="48"/>
      <c r="I2950" s="48"/>
      <c r="J2950" s="48"/>
      <c r="K2950" s="48"/>
      <c r="L2950" s="48"/>
      <c r="M2950" s="48"/>
      <c r="N2950" s="48"/>
      <c r="O2950" s="276"/>
      <c r="P2950" s="224"/>
      <c r="Q2950" s="224"/>
      <c r="R2950" s="224"/>
      <c r="S2950" s="224"/>
      <c r="T2950" s="224"/>
      <c r="U2950" s="224"/>
      <c r="V2950" s="224"/>
      <c r="W2950" s="224"/>
    </row>
    <row r="2951" spans="1:23" s="35" customFormat="1" ht="15" customHeight="1" thickBot="1">
      <c r="A2951" s="2"/>
      <c r="B2951" s="2"/>
      <c r="C2951" s="3">
        <v>65</v>
      </c>
      <c r="D2951" s="335" t="str">
        <f>+D2970</f>
        <v>*** FUND 65 REVENUES OVER(UNDER) EXPENSES ***</v>
      </c>
      <c r="E2951" s="336"/>
      <c r="F2951" s="191"/>
      <c r="G2951" s="48"/>
      <c r="H2951" s="48">
        <v>0</v>
      </c>
      <c r="I2951" s="48">
        <v>0</v>
      </c>
      <c r="J2951" s="48">
        <v>0</v>
      </c>
      <c r="K2951" s="48">
        <v>0</v>
      </c>
      <c r="L2951" s="48">
        <v>0</v>
      </c>
      <c r="M2951" s="48">
        <v>0</v>
      </c>
      <c r="N2951" s="48">
        <v>0</v>
      </c>
      <c r="O2951" s="276"/>
      <c r="P2951" s="214">
        <v>2497</v>
      </c>
      <c r="Q2951" s="215">
        <v>65</v>
      </c>
      <c r="R2951" s="216" t="s">
        <v>2619</v>
      </c>
      <c r="S2951" s="217"/>
      <c r="T2951" s="218">
        <v>0</v>
      </c>
      <c r="U2951" s="218">
        <v>0</v>
      </c>
      <c r="V2951" s="219">
        <v>0</v>
      </c>
      <c r="W2951" s="219">
        <v>0</v>
      </c>
    </row>
    <row r="2952" spans="1:23" s="35" customFormat="1" ht="15" customHeight="1" thickTop="1">
      <c r="A2952" s="2"/>
      <c r="B2952" s="2"/>
      <c r="C2952" s="3">
        <v>65</v>
      </c>
      <c r="D2952" s="58"/>
      <c r="E2952" s="56"/>
      <c r="F2952" s="191"/>
      <c r="G2952" s="48"/>
      <c r="H2952" s="48"/>
      <c r="I2952" s="48"/>
      <c r="J2952" s="48"/>
      <c r="K2952" s="48"/>
      <c r="L2952" s="48"/>
      <c r="M2952" s="48"/>
      <c r="N2952" s="48"/>
      <c r="O2952" s="276"/>
      <c r="P2952" s="224"/>
      <c r="Q2952" s="224"/>
      <c r="R2952" s="224"/>
      <c r="S2952" s="224"/>
      <c r="T2952" s="224"/>
      <c r="U2952" s="224"/>
      <c r="V2952" s="224"/>
      <c r="W2952" s="224"/>
    </row>
    <row r="2953" spans="1:23" ht="15" customHeight="1">
      <c r="C2953" s="3">
        <v>65</v>
      </c>
      <c r="D2953" s="54" t="s">
        <v>2875</v>
      </c>
      <c r="E2953" s="54"/>
      <c r="F2953" s="192"/>
      <c r="G2953" s="55"/>
      <c r="H2953" s="55"/>
      <c r="I2953" s="55"/>
      <c r="J2953" s="55"/>
      <c r="K2953" s="55">
        <f>+K2937+K2943-K2949</f>
        <v>0</v>
      </c>
      <c r="L2953" s="55"/>
      <c r="M2953" s="55">
        <f>+M2937+M2943-M2949</f>
        <v>0</v>
      </c>
      <c r="N2953" s="55">
        <f>+N2937+N2943-N2949</f>
        <v>0</v>
      </c>
      <c r="O2953" s="253"/>
      <c r="P2953" s="203"/>
      <c r="Q2953" s="204"/>
      <c r="R2953" s="205"/>
      <c r="S2953" s="206"/>
      <c r="T2953" s="207"/>
      <c r="U2953" s="207"/>
      <c r="V2953" s="208"/>
      <c r="W2953" s="212"/>
    </row>
    <row r="2954" spans="1:23" s="35" customFormat="1" ht="15" customHeight="1">
      <c r="A2954" s="2"/>
      <c r="B2954" s="2"/>
      <c r="C2954" s="3">
        <v>65</v>
      </c>
      <c r="D2954" s="58"/>
      <c r="E2954" s="56"/>
      <c r="F2954" s="191"/>
      <c r="G2954" s="48"/>
      <c r="H2954" s="48"/>
      <c r="I2954" s="48"/>
      <c r="J2954" s="48"/>
      <c r="K2954" s="48"/>
      <c r="L2954" s="48"/>
      <c r="M2954" s="48"/>
      <c r="N2954" s="48"/>
      <c r="O2954" s="276"/>
      <c r="P2954" s="224"/>
      <c r="Q2954" s="224"/>
      <c r="R2954" s="224"/>
      <c r="S2954" s="224"/>
      <c r="T2954" s="224"/>
      <c r="U2954" s="224"/>
      <c r="V2954" s="224"/>
      <c r="W2954" s="224"/>
    </row>
    <row r="2955" spans="1:23" s="35" customFormat="1" ht="15" customHeight="1">
      <c r="A2955" s="2"/>
      <c r="B2955" s="2"/>
      <c r="C2955" s="3">
        <v>65</v>
      </c>
      <c r="D2955" s="15">
        <v>4330</v>
      </c>
      <c r="E2955" s="312" t="s">
        <v>1669</v>
      </c>
      <c r="F2955" s="191"/>
      <c r="G2955" s="48"/>
      <c r="H2955" s="48">
        <v>0</v>
      </c>
      <c r="I2955" s="48">
        <v>0</v>
      </c>
      <c r="J2955" s="48">
        <v>0</v>
      </c>
      <c r="K2955" s="48">
        <v>0</v>
      </c>
      <c r="L2955" s="48">
        <v>0</v>
      </c>
      <c r="M2955" s="48">
        <v>0</v>
      </c>
      <c r="N2955" s="48">
        <v>0</v>
      </c>
      <c r="O2955" s="276"/>
      <c r="P2955" s="214">
        <v>2498</v>
      </c>
      <c r="Q2955" s="215">
        <v>65</v>
      </c>
      <c r="R2955" s="216">
        <v>4330</v>
      </c>
      <c r="S2955" s="217" t="s">
        <v>1669</v>
      </c>
      <c r="T2955" s="218">
        <v>0</v>
      </c>
      <c r="U2955" s="218">
        <v>0</v>
      </c>
      <c r="V2955" s="219">
        <v>0</v>
      </c>
      <c r="W2955" s="219">
        <v>0</v>
      </c>
    </row>
    <row r="2956" spans="1:23" s="35" customFormat="1" ht="15" customHeight="1">
      <c r="A2956" s="2"/>
      <c r="B2956" s="2"/>
      <c r="C2956" s="3">
        <v>65</v>
      </c>
      <c r="D2956" s="15">
        <v>4355.1009999999997</v>
      </c>
      <c r="E2956" s="315" t="s">
        <v>2647</v>
      </c>
      <c r="F2956" s="191"/>
      <c r="G2956" s="48"/>
      <c r="H2956" s="48">
        <v>0</v>
      </c>
      <c r="I2956" s="48">
        <v>0</v>
      </c>
      <c r="J2956" s="48">
        <v>0</v>
      </c>
      <c r="K2956" s="48">
        <v>0</v>
      </c>
      <c r="L2956" s="48">
        <v>0</v>
      </c>
      <c r="M2956" s="48">
        <v>3066</v>
      </c>
      <c r="N2956" s="48">
        <v>0</v>
      </c>
      <c r="O2956" s="276"/>
      <c r="P2956" s="214">
        <v>2499</v>
      </c>
      <c r="Q2956" s="215">
        <v>65</v>
      </c>
      <c r="R2956" s="216">
        <v>4355.1009999999997</v>
      </c>
      <c r="S2956" s="217" t="s">
        <v>2647</v>
      </c>
      <c r="T2956" s="218">
        <v>0</v>
      </c>
      <c r="U2956" s="218">
        <v>0</v>
      </c>
      <c r="V2956" s="219">
        <v>0</v>
      </c>
      <c r="W2956" s="219">
        <v>0</v>
      </c>
    </row>
    <row r="2957" spans="1:23" s="35" customFormat="1" ht="15" customHeight="1">
      <c r="A2957" s="2"/>
      <c r="B2957" s="2"/>
      <c r="C2957" s="3">
        <v>65</v>
      </c>
      <c r="D2957" s="15"/>
      <c r="E2957" s="14"/>
      <c r="F2957" s="191"/>
      <c r="G2957" s="48"/>
      <c r="H2957" s="48"/>
      <c r="I2957" s="48"/>
      <c r="J2957" s="48"/>
      <c r="K2957" s="48"/>
      <c r="L2957" s="48"/>
      <c r="M2957" s="48"/>
      <c r="N2957" s="48"/>
      <c r="O2957" s="276"/>
      <c r="P2957" s="224"/>
      <c r="Q2957" s="224"/>
      <c r="R2957" s="224"/>
      <c r="S2957" s="224"/>
      <c r="T2957" s="224"/>
      <c r="U2957" s="224"/>
      <c r="V2957" s="224"/>
      <c r="W2957" s="224"/>
    </row>
    <row r="2958" spans="1:23" s="35" customFormat="1" ht="15" customHeight="1" thickBot="1">
      <c r="A2958" s="2"/>
      <c r="B2958" s="2"/>
      <c r="C2958" s="3">
        <v>65</v>
      </c>
      <c r="D2958" s="68" t="s">
        <v>2653</v>
      </c>
      <c r="E2958" s="68"/>
      <c r="F2958" s="191"/>
      <c r="G2958" s="48"/>
      <c r="H2958" s="48">
        <f t="shared" ref="H2958:N2958" si="299">SUM(H2955:H2957)</f>
        <v>0</v>
      </c>
      <c r="I2958" s="48">
        <f t="shared" si="299"/>
        <v>0</v>
      </c>
      <c r="J2958" s="48">
        <f t="shared" si="299"/>
        <v>0</v>
      </c>
      <c r="K2958" s="48">
        <f t="shared" si="299"/>
        <v>0</v>
      </c>
      <c r="L2958" s="48">
        <f t="shared" si="299"/>
        <v>0</v>
      </c>
      <c r="M2958" s="48">
        <f t="shared" si="299"/>
        <v>3066</v>
      </c>
      <c r="N2958" s="48">
        <f t="shared" si="299"/>
        <v>0</v>
      </c>
      <c r="O2958" s="276"/>
      <c r="P2958" s="214">
        <v>2500</v>
      </c>
      <c r="Q2958" s="215">
        <v>65</v>
      </c>
      <c r="R2958" s="216" t="s">
        <v>2620</v>
      </c>
      <c r="S2958" s="217"/>
      <c r="T2958" s="218">
        <v>0</v>
      </c>
      <c r="U2958" s="218">
        <v>0</v>
      </c>
      <c r="V2958" s="219">
        <v>0</v>
      </c>
      <c r="W2958" s="219">
        <v>0</v>
      </c>
    </row>
    <row r="2959" spans="1:23" s="35" customFormat="1" ht="15" customHeight="1" thickTop="1">
      <c r="A2959" s="2"/>
      <c r="B2959" s="2"/>
      <c r="C2959" s="3">
        <v>65</v>
      </c>
      <c r="D2959" s="47"/>
      <c r="E2959" s="47"/>
      <c r="F2959" s="191"/>
      <c r="G2959" s="48"/>
      <c r="H2959" s="48"/>
      <c r="I2959" s="48"/>
      <c r="J2959" s="48"/>
      <c r="K2959" s="48"/>
      <c r="L2959" s="48"/>
      <c r="M2959" s="48"/>
      <c r="N2959" s="48"/>
      <c r="O2959" s="276"/>
      <c r="P2959" s="224"/>
      <c r="Q2959" s="224"/>
      <c r="R2959" s="224"/>
      <c r="S2959" s="224"/>
      <c r="T2959" s="224"/>
      <c r="U2959" s="224"/>
      <c r="V2959" s="224"/>
      <c r="W2959" s="224"/>
    </row>
    <row r="2960" spans="1:23" s="35" customFormat="1" ht="15" customHeight="1">
      <c r="A2960" s="2"/>
      <c r="B2960" s="2"/>
      <c r="C2960" s="3">
        <v>65</v>
      </c>
      <c r="D2960" s="47" t="s">
        <v>1972</v>
      </c>
      <c r="E2960" s="15"/>
      <c r="F2960" s="191"/>
      <c r="G2960" s="48"/>
      <c r="H2960" s="48"/>
      <c r="I2960" s="48"/>
      <c r="J2960" s="48"/>
      <c r="K2960" s="48"/>
      <c r="L2960" s="48"/>
      <c r="M2960" s="48"/>
      <c r="N2960" s="48"/>
      <c r="O2960" s="276"/>
      <c r="P2960" s="214">
        <v>2501</v>
      </c>
      <c r="Q2960" s="215">
        <v>65</v>
      </c>
      <c r="R2960" s="216" t="s">
        <v>104</v>
      </c>
      <c r="S2960" s="217"/>
      <c r="T2960" s="218"/>
      <c r="U2960" s="218"/>
      <c r="V2960" s="219"/>
      <c r="W2960" s="219"/>
    </row>
    <row r="2961" spans="1:23" s="35" customFormat="1" ht="15" customHeight="1">
      <c r="A2961" s="2"/>
      <c r="B2961" s="2"/>
      <c r="C2961" s="3">
        <v>65</v>
      </c>
      <c r="D2961" s="15"/>
      <c r="E2961" s="15"/>
      <c r="F2961" s="191"/>
      <c r="G2961" s="48"/>
      <c r="H2961" s="48"/>
      <c r="I2961" s="48"/>
      <c r="J2961" s="48"/>
      <c r="K2961" s="48"/>
      <c r="L2961" s="48"/>
      <c r="M2961" s="48"/>
      <c r="N2961" s="48"/>
      <c r="O2961" s="276"/>
      <c r="P2961" s="214">
        <v>2502</v>
      </c>
      <c r="Q2961" s="215">
        <v>65</v>
      </c>
      <c r="R2961" s="216" t="s">
        <v>2624</v>
      </c>
      <c r="S2961" s="217"/>
      <c r="T2961" s="218"/>
      <c r="U2961" s="218"/>
      <c r="V2961" s="219"/>
      <c r="W2961" s="219"/>
    </row>
    <row r="2962" spans="1:23" s="35" customFormat="1" ht="15" customHeight="1">
      <c r="A2962" s="2"/>
      <c r="B2962" s="2"/>
      <c r="C2962" s="3">
        <v>65</v>
      </c>
      <c r="D2962" s="15" t="s">
        <v>1916</v>
      </c>
      <c r="E2962" s="315" t="s">
        <v>2648</v>
      </c>
      <c r="F2962" s="191"/>
      <c r="G2962" s="48"/>
      <c r="H2962" s="48">
        <v>0</v>
      </c>
      <c r="I2962" s="48">
        <v>0</v>
      </c>
      <c r="J2962" s="48">
        <v>0</v>
      </c>
      <c r="K2962" s="48">
        <v>0</v>
      </c>
      <c r="L2962" s="48">
        <v>0</v>
      </c>
      <c r="M2962" s="48">
        <v>3066</v>
      </c>
      <c r="N2962" s="48">
        <v>0</v>
      </c>
      <c r="O2962" s="276"/>
      <c r="P2962" s="214">
        <v>2503</v>
      </c>
      <c r="Q2962" s="215">
        <v>65</v>
      </c>
      <c r="R2962" s="216" t="s">
        <v>1916</v>
      </c>
      <c r="S2962" s="217" t="s">
        <v>2648</v>
      </c>
      <c r="T2962" s="218">
        <v>0</v>
      </c>
      <c r="U2962" s="218">
        <v>0</v>
      </c>
      <c r="V2962" s="219">
        <v>0</v>
      </c>
      <c r="W2962" s="219">
        <v>0</v>
      </c>
    </row>
    <row r="2963" spans="1:23" s="35" customFormat="1" ht="15" customHeight="1">
      <c r="A2963" s="2"/>
      <c r="B2963" s="2"/>
      <c r="C2963" s="3">
        <v>65</v>
      </c>
      <c r="D2963" s="15"/>
      <c r="E2963" s="15"/>
      <c r="F2963" s="191"/>
      <c r="G2963" s="48"/>
      <c r="H2963" s="48"/>
      <c r="I2963" s="48"/>
      <c r="J2963" s="48"/>
      <c r="K2963" s="48"/>
      <c r="L2963" s="48"/>
      <c r="M2963" s="48"/>
      <c r="N2963" s="48"/>
      <c r="O2963" s="276"/>
      <c r="P2963" s="214">
        <v>2504</v>
      </c>
      <c r="Q2963" s="215">
        <v>65</v>
      </c>
      <c r="R2963" s="216" t="s">
        <v>2623</v>
      </c>
      <c r="S2963" s="217"/>
      <c r="T2963" s="218"/>
      <c r="U2963" s="218"/>
      <c r="V2963" s="219"/>
      <c r="W2963" s="219"/>
    </row>
    <row r="2964" spans="1:23" s="35" customFormat="1" ht="15" customHeight="1">
      <c r="A2964" s="2"/>
      <c r="B2964" s="2"/>
      <c r="C2964" s="3">
        <v>65</v>
      </c>
      <c r="D2964" s="323" t="s">
        <v>1969</v>
      </c>
      <c r="E2964" s="323"/>
      <c r="F2964" s="191"/>
      <c r="G2964" s="48"/>
      <c r="H2964" s="48">
        <f t="shared" ref="H2964:N2964" si="300">+H2962</f>
        <v>0</v>
      </c>
      <c r="I2964" s="48">
        <f t="shared" si="300"/>
        <v>0</v>
      </c>
      <c r="J2964" s="48">
        <f t="shared" si="300"/>
        <v>0</v>
      </c>
      <c r="K2964" s="48">
        <f t="shared" si="300"/>
        <v>0</v>
      </c>
      <c r="L2964" s="48">
        <f t="shared" si="300"/>
        <v>0</v>
      </c>
      <c r="M2964" s="48">
        <f t="shared" si="300"/>
        <v>3066</v>
      </c>
      <c r="N2964" s="48">
        <f t="shared" si="300"/>
        <v>0</v>
      </c>
      <c r="O2964" s="276"/>
      <c r="P2964" s="214">
        <v>2505</v>
      </c>
      <c r="Q2964" s="215">
        <v>65</v>
      </c>
      <c r="R2964" s="216" t="s">
        <v>104</v>
      </c>
      <c r="S2964" s="217"/>
      <c r="T2964" s="218">
        <v>0</v>
      </c>
      <c r="U2964" s="218">
        <v>0</v>
      </c>
      <c r="V2964" s="219">
        <v>0</v>
      </c>
      <c r="W2964" s="219">
        <v>0</v>
      </c>
    </row>
    <row r="2965" spans="1:23" s="35" customFormat="1" ht="15" customHeight="1">
      <c r="A2965" s="2"/>
      <c r="B2965" s="2"/>
      <c r="C2965" s="3">
        <v>65</v>
      </c>
      <c r="D2965" s="15"/>
      <c r="E2965" s="15"/>
      <c r="F2965" s="191"/>
      <c r="G2965" s="48"/>
      <c r="H2965" s="48"/>
      <c r="I2965" s="48"/>
      <c r="J2965" s="48"/>
      <c r="K2965" s="48"/>
      <c r="L2965" s="48"/>
      <c r="M2965" s="48"/>
      <c r="N2965" s="48"/>
      <c r="O2965" s="276"/>
      <c r="P2965" s="214">
        <v>2506</v>
      </c>
      <c r="Q2965" s="215">
        <v>65</v>
      </c>
      <c r="R2965" s="216" t="s">
        <v>2623</v>
      </c>
      <c r="S2965" s="217"/>
      <c r="T2965" s="218"/>
      <c r="U2965" s="218"/>
      <c r="V2965" s="219"/>
      <c r="W2965" s="219"/>
    </row>
    <row r="2966" spans="1:23" s="35" customFormat="1" ht="15" customHeight="1">
      <c r="A2966" s="2"/>
      <c r="B2966" s="2"/>
      <c r="C2966" s="3">
        <v>65</v>
      </c>
      <c r="D2966" s="47" t="s">
        <v>1667</v>
      </c>
      <c r="E2966" s="15"/>
      <c r="F2966" s="191"/>
      <c r="G2966" s="48"/>
      <c r="H2966" s="48"/>
      <c r="I2966" s="48"/>
      <c r="J2966" s="48"/>
      <c r="K2966" s="48"/>
      <c r="L2966" s="48"/>
      <c r="M2966" s="48"/>
      <c r="N2966" s="48"/>
      <c r="O2966" s="276"/>
      <c r="P2966" s="214">
        <v>2507</v>
      </c>
      <c r="Q2966" s="215">
        <v>65</v>
      </c>
      <c r="R2966" s="216" t="s">
        <v>1667</v>
      </c>
      <c r="S2966" s="217"/>
      <c r="T2966" s="218">
        <v>0</v>
      </c>
      <c r="U2966" s="218">
        <v>0</v>
      </c>
      <c r="V2966" s="219">
        <v>0</v>
      </c>
      <c r="W2966" s="219">
        <v>0</v>
      </c>
    </row>
    <row r="2967" spans="1:23" s="35" customFormat="1" ht="15" customHeight="1">
      <c r="A2967" s="2"/>
      <c r="B2967" s="2"/>
      <c r="C2967" s="3">
        <v>65</v>
      </c>
      <c r="D2967" s="47"/>
      <c r="E2967" s="15"/>
      <c r="F2967" s="191"/>
      <c r="G2967" s="48"/>
      <c r="H2967" s="48"/>
      <c r="I2967" s="48"/>
      <c r="J2967" s="48"/>
      <c r="K2967" s="48"/>
      <c r="L2967" s="48"/>
      <c r="M2967" s="48"/>
      <c r="N2967" s="48"/>
      <c r="O2967" s="276"/>
      <c r="P2967" s="224"/>
      <c r="Q2967" s="224"/>
      <c r="R2967" s="224"/>
      <c r="S2967" s="224"/>
      <c r="T2967" s="224"/>
      <c r="U2967" s="224"/>
      <c r="V2967" s="224"/>
      <c r="W2967" s="224"/>
    </row>
    <row r="2968" spans="1:23" s="35" customFormat="1" ht="15" customHeight="1">
      <c r="A2968" s="2"/>
      <c r="B2968" s="2"/>
      <c r="C2968" s="3">
        <v>65</v>
      </c>
      <c r="D2968" s="54" t="s">
        <v>2654</v>
      </c>
      <c r="E2968" s="54"/>
      <c r="F2968" s="191"/>
      <c r="G2968" s="48"/>
      <c r="H2968" s="48">
        <f t="shared" ref="H2968:N2968" si="301">+H2964</f>
        <v>0</v>
      </c>
      <c r="I2968" s="48">
        <f t="shared" si="301"/>
        <v>0</v>
      </c>
      <c r="J2968" s="48">
        <f t="shared" si="301"/>
        <v>0</v>
      </c>
      <c r="K2968" s="48">
        <f t="shared" si="301"/>
        <v>0</v>
      </c>
      <c r="L2968" s="48">
        <f t="shared" si="301"/>
        <v>0</v>
      </c>
      <c r="M2968" s="48">
        <f t="shared" si="301"/>
        <v>3066</v>
      </c>
      <c r="N2968" s="48">
        <f t="shared" si="301"/>
        <v>0</v>
      </c>
      <c r="O2968" s="276"/>
      <c r="P2968" s="214">
        <v>2508</v>
      </c>
      <c r="Q2968" s="215">
        <v>65</v>
      </c>
      <c r="R2968" s="216" t="s">
        <v>2618</v>
      </c>
      <c r="S2968" s="217"/>
      <c r="T2968" s="218">
        <v>0</v>
      </c>
      <c r="U2968" s="218">
        <v>0</v>
      </c>
      <c r="V2968" s="219">
        <v>0</v>
      </c>
      <c r="W2968" s="219">
        <v>0</v>
      </c>
    </row>
    <row r="2969" spans="1:23" s="35" customFormat="1" ht="15" customHeight="1">
      <c r="A2969" s="2"/>
      <c r="B2969" s="2"/>
      <c r="C2969" s="3">
        <v>65</v>
      </c>
      <c r="D2969" s="47"/>
      <c r="E2969" s="47"/>
      <c r="F2969" s="191"/>
      <c r="G2969" s="48"/>
      <c r="H2969" s="48"/>
      <c r="I2969" s="48"/>
      <c r="J2969" s="48"/>
      <c r="K2969" s="48"/>
      <c r="L2969" s="48"/>
      <c r="M2969" s="48"/>
      <c r="N2969" s="48"/>
      <c r="O2969" s="276"/>
      <c r="P2969" s="224"/>
      <c r="Q2969" s="224"/>
      <c r="R2969" s="224"/>
      <c r="S2969" s="224"/>
      <c r="T2969" s="224"/>
      <c r="U2969" s="224"/>
      <c r="V2969" s="224"/>
      <c r="W2969" s="224"/>
    </row>
    <row r="2970" spans="1:23" s="35" customFormat="1" ht="15" customHeight="1" thickBot="1">
      <c r="A2970" s="2"/>
      <c r="B2970" s="2"/>
      <c r="C2970" s="3">
        <v>65</v>
      </c>
      <c r="D2970" s="329" t="s">
        <v>2655</v>
      </c>
      <c r="E2970" s="329"/>
      <c r="F2970" s="191"/>
      <c r="G2970" s="48"/>
      <c r="H2970" s="48">
        <f t="shared" ref="H2970:N2970" si="302">+H2958-H2968</f>
        <v>0</v>
      </c>
      <c r="I2970" s="48">
        <f t="shared" si="302"/>
        <v>0</v>
      </c>
      <c r="J2970" s="48">
        <f t="shared" si="302"/>
        <v>0</v>
      </c>
      <c r="K2970" s="48">
        <f t="shared" si="302"/>
        <v>0</v>
      </c>
      <c r="L2970" s="48">
        <f t="shared" si="302"/>
        <v>0</v>
      </c>
      <c r="M2970" s="48">
        <f t="shared" si="302"/>
        <v>0</v>
      </c>
      <c r="N2970" s="48">
        <f t="shared" si="302"/>
        <v>0</v>
      </c>
      <c r="O2970" s="276"/>
      <c r="P2970" s="214">
        <v>2509</v>
      </c>
      <c r="Q2970" s="215">
        <v>65</v>
      </c>
      <c r="R2970" s="216" t="s">
        <v>2619</v>
      </c>
      <c r="S2970" s="217"/>
      <c r="T2970" s="218">
        <v>0</v>
      </c>
      <c r="U2970" s="218">
        <v>0</v>
      </c>
      <c r="V2970" s="219">
        <v>0</v>
      </c>
      <c r="W2970" s="219">
        <v>0</v>
      </c>
    </row>
    <row r="2971" spans="1:23" s="35" customFormat="1" ht="15" customHeight="1" thickTop="1">
      <c r="A2971" s="2"/>
      <c r="B2971" s="2"/>
      <c r="C2971" s="3">
        <v>65</v>
      </c>
      <c r="D2971" s="47"/>
      <c r="E2971" s="47"/>
      <c r="F2971" s="191"/>
      <c r="G2971" s="48"/>
      <c r="H2971" s="48"/>
      <c r="I2971" s="48"/>
      <c r="J2971" s="48"/>
      <c r="K2971" s="48"/>
      <c r="L2971" s="48"/>
      <c r="M2971" s="48"/>
      <c r="N2971" s="48"/>
      <c r="O2971" s="276"/>
      <c r="P2971" s="224"/>
      <c r="Q2971" s="224"/>
      <c r="R2971" s="224"/>
      <c r="S2971" s="224"/>
      <c r="T2971" s="224"/>
      <c r="U2971" s="224"/>
      <c r="V2971" s="224"/>
      <c r="W2971" s="224"/>
    </row>
    <row r="2972" spans="1:23" ht="15" customHeight="1">
      <c r="C2972" s="3">
        <v>65</v>
      </c>
      <c r="D2972" s="54" t="s">
        <v>2875</v>
      </c>
      <c r="E2972" s="54"/>
      <c r="F2972" s="192"/>
      <c r="G2972" s="55"/>
      <c r="H2972" s="55"/>
      <c r="I2972" s="55"/>
      <c r="J2972" s="55"/>
      <c r="K2972" s="55">
        <f>+K2953</f>
        <v>0</v>
      </c>
      <c r="L2972" s="55"/>
      <c r="M2972" s="55">
        <f>+M2953</f>
        <v>0</v>
      </c>
      <c r="N2972" s="55">
        <f>+N2953</f>
        <v>0</v>
      </c>
      <c r="O2972" s="253"/>
      <c r="P2972" s="203"/>
      <c r="Q2972" s="204"/>
      <c r="R2972" s="205"/>
      <c r="S2972" s="206"/>
      <c r="T2972" s="207"/>
      <c r="U2972" s="207"/>
      <c r="V2972" s="208"/>
      <c r="W2972" s="212"/>
    </row>
    <row r="2973" spans="1:23" s="35" customFormat="1" ht="15" customHeight="1">
      <c r="A2973" s="2"/>
      <c r="B2973" s="2"/>
      <c r="C2973" s="3">
        <v>65</v>
      </c>
      <c r="D2973" s="47"/>
      <c r="E2973" s="47"/>
      <c r="F2973" s="191"/>
      <c r="G2973" s="48"/>
      <c r="H2973" s="48"/>
      <c r="I2973" s="48"/>
      <c r="J2973" s="48"/>
      <c r="K2973" s="48"/>
      <c r="L2973" s="48"/>
      <c r="M2973" s="48"/>
      <c r="N2973" s="48"/>
      <c r="O2973" s="276"/>
      <c r="P2973" s="224"/>
      <c r="Q2973" s="224"/>
      <c r="R2973" s="224"/>
      <c r="S2973" s="224"/>
      <c r="T2973" s="224"/>
      <c r="U2973" s="224"/>
      <c r="V2973" s="224"/>
      <c r="W2973" s="224"/>
    </row>
    <row r="2974" spans="1:23" s="35" customFormat="1" ht="15" customHeight="1">
      <c r="A2974" s="2"/>
      <c r="B2974" s="2"/>
      <c r="C2974" s="3">
        <v>65</v>
      </c>
      <c r="D2974" s="47" t="s">
        <v>1976</v>
      </c>
      <c r="E2974" s="47"/>
      <c r="F2974" s="191"/>
      <c r="G2974" s="48"/>
      <c r="H2974" s="48"/>
      <c r="I2974" s="48"/>
      <c r="J2974" s="48"/>
      <c r="K2974" s="48"/>
      <c r="L2974" s="48"/>
      <c r="M2974" s="48"/>
      <c r="N2974" s="48"/>
      <c r="O2974" s="276"/>
      <c r="P2974" s="214">
        <v>2510</v>
      </c>
      <c r="Q2974" s="215">
        <v>65</v>
      </c>
      <c r="R2974" s="216" t="s">
        <v>2630</v>
      </c>
      <c r="S2974" s="217"/>
      <c r="T2974" s="218"/>
      <c r="U2974" s="218"/>
      <c r="V2974" s="219"/>
      <c r="W2974" s="219"/>
    </row>
    <row r="2975" spans="1:23" s="35" customFormat="1" ht="15" customHeight="1">
      <c r="A2975" s="2"/>
      <c r="B2975" s="2"/>
      <c r="C2975" s="3"/>
      <c r="D2975" s="47"/>
      <c r="E2975" s="47"/>
      <c r="F2975" s="191"/>
      <c r="G2975" s="48"/>
      <c r="H2975" s="48"/>
      <c r="I2975" s="48"/>
      <c r="J2975" s="48"/>
      <c r="K2975" s="48"/>
      <c r="L2975" s="48"/>
      <c r="M2975" s="48"/>
      <c r="N2975" s="48"/>
      <c r="O2975" s="276"/>
    </row>
    <row r="2976" spans="1:23" s="35" customFormat="1" ht="15" customHeight="1">
      <c r="A2976" s="2"/>
      <c r="B2976" s="2"/>
      <c r="C2976" s="3">
        <v>70</v>
      </c>
      <c r="D2976" s="47" t="s">
        <v>2390</v>
      </c>
      <c r="E2976" s="47"/>
      <c r="F2976" s="191"/>
      <c r="G2976" s="48"/>
      <c r="H2976" s="48"/>
      <c r="I2976" s="48"/>
      <c r="J2976" s="48"/>
      <c r="K2976" s="48"/>
      <c r="L2976" s="48"/>
      <c r="M2976" s="48"/>
      <c r="N2976" s="48"/>
      <c r="O2976" s="276"/>
    </row>
    <row r="2977" spans="1:23" s="35" customFormat="1" ht="15" customHeight="1">
      <c r="A2977" s="2"/>
      <c r="B2977" s="2"/>
      <c r="C2977" s="3">
        <v>70</v>
      </c>
      <c r="D2977" s="47"/>
      <c r="E2977" s="47"/>
      <c r="F2977" s="191"/>
      <c r="G2977" s="48"/>
      <c r="H2977" s="48"/>
      <c r="I2977" s="48"/>
      <c r="J2977" s="48"/>
      <c r="K2977" s="48"/>
      <c r="L2977" s="48"/>
      <c r="M2977" s="48"/>
      <c r="N2977" s="48"/>
      <c r="O2977" s="276"/>
    </row>
    <row r="2978" spans="1:23" ht="15" customHeight="1">
      <c r="C2978" s="3">
        <v>70</v>
      </c>
      <c r="D2978" s="54" t="s">
        <v>2874</v>
      </c>
      <c r="E2978" s="54"/>
      <c r="F2978" s="192"/>
      <c r="G2978" s="55"/>
      <c r="H2978" s="55"/>
      <c r="I2978" s="55"/>
      <c r="J2978" s="55">
        <f>K2978-J3016</f>
        <v>184504.65999999997</v>
      </c>
      <c r="K2978" s="55">
        <v>301129.65999999997</v>
      </c>
      <c r="L2978" s="55"/>
      <c r="M2978" s="55">
        <f>K2978</f>
        <v>301129.65999999997</v>
      </c>
      <c r="N2978" s="55">
        <f>+M2994</f>
        <v>37284.659999999974</v>
      </c>
      <c r="O2978" s="278"/>
      <c r="P2978" s="203"/>
      <c r="Q2978" s="204"/>
      <c r="R2978" s="205"/>
      <c r="S2978" s="206"/>
      <c r="T2978" s="207"/>
      <c r="U2978" s="207"/>
      <c r="V2978" s="208"/>
      <c r="W2978" s="212"/>
    </row>
    <row r="2979" spans="1:23" s="35" customFormat="1" ht="15" customHeight="1">
      <c r="A2979" s="2"/>
      <c r="B2979" s="2"/>
      <c r="C2979" s="3">
        <v>70</v>
      </c>
      <c r="D2979" s="47"/>
      <c r="E2979" s="47"/>
      <c r="F2979" s="191"/>
      <c r="G2979" s="48"/>
      <c r="H2979" s="48"/>
      <c r="I2979" s="48"/>
      <c r="J2979" s="48"/>
      <c r="K2979" s="48"/>
      <c r="L2979" s="48"/>
      <c r="M2979" s="48"/>
      <c r="N2979" s="48"/>
      <c r="O2979" s="276"/>
    </row>
    <row r="2980" spans="1:23" ht="15" customHeight="1">
      <c r="C2980" s="3">
        <v>70</v>
      </c>
      <c r="D2980" s="47" t="s">
        <v>2227</v>
      </c>
      <c r="G2980" s="26"/>
      <c r="H2980" s="26"/>
      <c r="I2980" s="26"/>
      <c r="J2980" s="26"/>
      <c r="K2980" s="26"/>
      <c r="L2980" s="26"/>
      <c r="M2980" s="26"/>
      <c r="N2980" s="26"/>
      <c r="P2980" s="214">
        <v>2511</v>
      </c>
      <c r="Q2980" s="215">
        <v>70</v>
      </c>
      <c r="R2980" s="216" t="s">
        <v>2610</v>
      </c>
      <c r="S2980" s="217"/>
      <c r="T2980" s="218"/>
      <c r="U2980" s="218"/>
      <c r="V2980" s="219"/>
      <c r="W2980" s="219"/>
    </row>
    <row r="2981" spans="1:23" ht="15" customHeight="1">
      <c r="C2981" s="3">
        <v>70</v>
      </c>
      <c r="G2981" s="26"/>
      <c r="H2981" s="26"/>
      <c r="I2981" s="26"/>
      <c r="J2981" s="26"/>
      <c r="K2981" s="26"/>
      <c r="L2981" s="26"/>
      <c r="M2981" s="26"/>
      <c r="N2981" s="26"/>
      <c r="P2981" s="214">
        <v>2512</v>
      </c>
      <c r="Q2981" s="215">
        <v>70</v>
      </c>
      <c r="R2981" s="216" t="s">
        <v>2611</v>
      </c>
      <c r="S2981" s="217"/>
      <c r="T2981" s="218"/>
      <c r="U2981" s="218"/>
      <c r="V2981" s="219"/>
      <c r="W2981" s="219"/>
    </row>
    <row r="2982" spans="1:23" s="21" customFormat="1" ht="15" customHeight="1">
      <c r="A2982" s="2"/>
      <c r="B2982" s="2" t="s">
        <v>2318</v>
      </c>
      <c r="C2982" s="3">
        <v>70</v>
      </c>
      <c r="D2982" s="54" t="s">
        <v>2203</v>
      </c>
      <c r="E2982" s="54"/>
      <c r="F2982" s="192"/>
      <c r="G2982" s="55">
        <f>+G2984</f>
        <v>100001</v>
      </c>
      <c r="H2982" s="55">
        <f t="shared" ref="H2982:N2982" si="303">+H2984</f>
        <v>68155</v>
      </c>
      <c r="I2982" s="55">
        <f t="shared" si="303"/>
        <v>69346</v>
      </c>
      <c r="J2982" s="55">
        <f t="shared" si="303"/>
        <v>116790</v>
      </c>
      <c r="K2982" s="55">
        <f t="shared" si="303"/>
        <v>54000</v>
      </c>
      <c r="L2982" s="55">
        <f t="shared" si="303"/>
        <v>48541</v>
      </c>
      <c r="M2982" s="55">
        <f t="shared" si="303"/>
        <v>65823</v>
      </c>
      <c r="N2982" s="55">
        <f t="shared" si="303"/>
        <v>36300</v>
      </c>
      <c r="O2982" s="279"/>
      <c r="P2982" s="214">
        <v>2513</v>
      </c>
      <c r="Q2982" s="215">
        <v>70</v>
      </c>
      <c r="R2982" s="216" t="s">
        <v>2612</v>
      </c>
      <c r="S2982" s="217"/>
      <c r="T2982" s="218">
        <v>54000</v>
      </c>
      <c r="U2982" s="218">
        <v>3772.59</v>
      </c>
      <c r="V2982" s="219">
        <v>52313.37</v>
      </c>
      <c r="W2982" s="219">
        <v>96.88</v>
      </c>
    </row>
    <row r="2983" spans="1:23" s="57" customFormat="1" ht="15" customHeight="1">
      <c r="A2983" s="5"/>
      <c r="B2983" s="5"/>
      <c r="C2983" s="3">
        <v>70</v>
      </c>
      <c r="D2983" s="54"/>
      <c r="E2983" s="54"/>
      <c r="F2983" s="192"/>
      <c r="G2983" s="55"/>
      <c r="H2983" s="55"/>
      <c r="I2983" s="55"/>
      <c r="J2983" s="55"/>
      <c r="K2983" s="55"/>
      <c r="L2983" s="55"/>
      <c r="M2983" s="55"/>
      <c r="N2983" s="55"/>
      <c r="O2983" s="302"/>
      <c r="P2983" s="220"/>
      <c r="Q2983" s="220"/>
      <c r="R2983" s="220"/>
      <c r="S2983" s="220"/>
      <c r="T2983" s="220"/>
      <c r="U2983" s="220"/>
      <c r="V2983" s="220"/>
      <c r="W2983" s="220"/>
    </row>
    <row r="2984" spans="1:23" s="27" customFormat="1" ht="15" customHeight="1" thickBot="1">
      <c r="A2984" s="2"/>
      <c r="B2984" s="2" t="s">
        <v>2318</v>
      </c>
      <c r="C2984" s="3">
        <v>70</v>
      </c>
      <c r="D2984" s="68" t="str">
        <f>+D3004</f>
        <v>*** TOTAL FUND 70 REVENUES ***</v>
      </c>
      <c r="E2984" s="68"/>
      <c r="F2984" s="68">
        <f>+F3004</f>
        <v>0</v>
      </c>
      <c r="G2984" s="69">
        <f>+G3004</f>
        <v>100001</v>
      </c>
      <c r="H2984" s="69">
        <f t="shared" ref="H2984:N2984" si="304">+H3004</f>
        <v>68155</v>
      </c>
      <c r="I2984" s="69">
        <f t="shared" si="304"/>
        <v>69346</v>
      </c>
      <c r="J2984" s="69">
        <f t="shared" si="304"/>
        <v>116790</v>
      </c>
      <c r="K2984" s="69">
        <f t="shared" si="304"/>
        <v>54000</v>
      </c>
      <c r="L2984" s="69">
        <f t="shared" si="304"/>
        <v>48541</v>
      </c>
      <c r="M2984" s="69">
        <f t="shared" si="304"/>
        <v>65823</v>
      </c>
      <c r="N2984" s="69">
        <f t="shared" si="304"/>
        <v>36300</v>
      </c>
      <c r="O2984" s="281"/>
      <c r="P2984" s="214">
        <v>2514</v>
      </c>
      <c r="Q2984" s="215">
        <v>70</v>
      </c>
      <c r="R2984" s="216" t="s">
        <v>2613</v>
      </c>
      <c r="S2984" s="217"/>
      <c r="T2984" s="218">
        <v>54000</v>
      </c>
      <c r="U2984" s="218">
        <v>3772.59</v>
      </c>
      <c r="V2984" s="219">
        <v>52313.37</v>
      </c>
      <c r="W2984" s="219">
        <v>96.88</v>
      </c>
    </row>
    <row r="2985" spans="1:23" s="46" customFormat="1" ht="15" customHeight="1" thickTop="1">
      <c r="A2985" s="5"/>
      <c r="B2985" s="5"/>
      <c r="C2985" s="3">
        <v>70</v>
      </c>
      <c r="D2985" s="47"/>
      <c r="E2985" s="47"/>
      <c r="F2985" s="47"/>
      <c r="G2985" s="56"/>
      <c r="H2985" s="56"/>
      <c r="I2985" s="56"/>
      <c r="J2985" s="56"/>
      <c r="K2985" s="56"/>
      <c r="L2985" s="56"/>
      <c r="M2985" s="56"/>
      <c r="N2985" s="56"/>
      <c r="O2985" s="289"/>
      <c r="P2985" s="221"/>
      <c r="Q2985" s="221"/>
      <c r="R2985" s="221"/>
      <c r="S2985" s="221"/>
      <c r="T2985" s="221"/>
      <c r="U2985" s="221"/>
      <c r="V2985" s="221"/>
      <c r="W2985" s="221"/>
    </row>
    <row r="2986" spans="1:23" ht="15" customHeight="1">
      <c r="C2986" s="3">
        <v>70</v>
      </c>
      <c r="D2986" s="47" t="s">
        <v>1977</v>
      </c>
      <c r="G2986" s="26"/>
      <c r="H2986" s="26"/>
      <c r="I2986" s="26"/>
      <c r="J2986" s="26"/>
      <c r="K2986" s="26"/>
      <c r="L2986" s="26"/>
      <c r="M2986" s="26"/>
      <c r="N2986" s="26"/>
      <c r="P2986" s="214">
        <v>2515</v>
      </c>
      <c r="Q2986" s="215">
        <v>70</v>
      </c>
      <c r="R2986" s="216" t="s">
        <v>2614</v>
      </c>
      <c r="S2986" s="217"/>
      <c r="T2986" s="218"/>
      <c r="U2986" s="218"/>
      <c r="V2986" s="219"/>
      <c r="W2986" s="219"/>
    </row>
    <row r="2987" spans="1:23" ht="15" customHeight="1">
      <c r="C2987" s="3">
        <v>70</v>
      </c>
      <c r="G2987" s="26"/>
      <c r="H2987" s="26"/>
      <c r="I2987" s="26"/>
      <c r="J2987" s="26"/>
      <c r="K2987" s="26"/>
      <c r="L2987" s="26"/>
      <c r="M2987" s="26"/>
      <c r="N2987" s="26"/>
      <c r="P2987" s="214">
        <v>2516</v>
      </c>
      <c r="Q2987" s="215">
        <v>70</v>
      </c>
      <c r="R2987" s="216" t="s">
        <v>2615</v>
      </c>
      <c r="S2987" s="217"/>
      <c r="T2987" s="218"/>
      <c r="U2987" s="218"/>
      <c r="V2987" s="219"/>
      <c r="W2987" s="219"/>
    </row>
    <row r="2988" spans="1:23" ht="15" customHeight="1">
      <c r="B2988" s="2" t="s">
        <v>2318</v>
      </c>
      <c r="C2988" s="3">
        <v>70</v>
      </c>
      <c r="D2988" s="47" t="s">
        <v>1667</v>
      </c>
      <c r="G2988" s="26">
        <f>+G3012</f>
        <v>0</v>
      </c>
      <c r="H2988" s="26">
        <f t="shared" ref="H2988:N2988" si="305">+H3012</f>
        <v>0</v>
      </c>
      <c r="I2988" s="26">
        <f t="shared" si="305"/>
        <v>0</v>
      </c>
      <c r="J2988" s="26">
        <f t="shared" si="305"/>
        <v>0</v>
      </c>
      <c r="K2988" s="26">
        <f t="shared" si="305"/>
        <v>0</v>
      </c>
      <c r="L2988" s="26">
        <f t="shared" si="305"/>
        <v>0</v>
      </c>
      <c r="M2988" s="26">
        <f t="shared" si="305"/>
        <v>0</v>
      </c>
      <c r="N2988" s="26">
        <f t="shared" si="305"/>
        <v>0</v>
      </c>
      <c r="P2988" s="214">
        <v>2517</v>
      </c>
      <c r="Q2988" s="215">
        <v>70</v>
      </c>
      <c r="R2988" s="216" t="s">
        <v>1667</v>
      </c>
      <c r="S2988" s="217"/>
      <c r="T2988" s="218">
        <v>54000</v>
      </c>
      <c r="U2988" s="218">
        <v>68142.25</v>
      </c>
      <c r="V2988" s="219">
        <v>163143.35</v>
      </c>
      <c r="W2988" s="219">
        <v>302.12</v>
      </c>
    </row>
    <row r="2989" spans="1:23" ht="15" customHeight="1">
      <c r="C2989" s="3">
        <v>70</v>
      </c>
      <c r="D2989" s="47"/>
      <c r="G2989" s="26"/>
      <c r="H2989" s="26"/>
      <c r="I2989" s="26"/>
      <c r="J2989" s="26"/>
      <c r="K2989" s="26"/>
      <c r="L2989" s="26"/>
      <c r="M2989" s="26"/>
      <c r="N2989" s="26"/>
      <c r="P2989" s="222"/>
      <c r="Q2989" s="222"/>
      <c r="R2989" s="222"/>
      <c r="S2989" s="223"/>
      <c r="T2989" s="223"/>
      <c r="U2989" s="223"/>
      <c r="V2989" s="224"/>
      <c r="W2989" s="224"/>
    </row>
    <row r="2990" spans="1:23" s="37" customFormat="1" ht="15" customHeight="1">
      <c r="A2990" s="2"/>
      <c r="B2990" s="2" t="s">
        <v>2318</v>
      </c>
      <c r="C2990" s="3">
        <v>70</v>
      </c>
      <c r="D2990" s="54" t="str">
        <f>+D3014</f>
        <v>*** TOTAL FUND 70 EXPENSES ***</v>
      </c>
      <c r="E2990" s="54"/>
      <c r="F2990" s="54">
        <f t="shared" ref="F2990:N2990" si="306">+F3014</f>
        <v>0</v>
      </c>
      <c r="G2990" s="339">
        <f t="shared" si="306"/>
        <v>89387</v>
      </c>
      <c r="H2990" s="339">
        <f t="shared" si="306"/>
        <v>17000</v>
      </c>
      <c r="I2990" s="339">
        <f t="shared" si="306"/>
        <v>111</v>
      </c>
      <c r="J2990" s="339">
        <f t="shared" si="306"/>
        <v>165</v>
      </c>
      <c r="K2990" s="339">
        <f t="shared" si="306"/>
        <v>54000</v>
      </c>
      <c r="L2990" s="339">
        <f t="shared" si="306"/>
        <v>95001</v>
      </c>
      <c r="M2990" s="339">
        <f t="shared" si="306"/>
        <v>329668</v>
      </c>
      <c r="N2990" s="339">
        <f t="shared" si="306"/>
        <v>45000</v>
      </c>
      <c r="O2990" s="303"/>
      <c r="P2990" s="214">
        <v>2518</v>
      </c>
      <c r="Q2990" s="215">
        <v>70</v>
      </c>
      <c r="R2990" s="216" t="s">
        <v>2618</v>
      </c>
      <c r="S2990" s="217"/>
      <c r="T2990" s="218">
        <v>54000</v>
      </c>
      <c r="U2990" s="218">
        <v>68142.25</v>
      </c>
      <c r="V2990" s="219">
        <v>163143.35</v>
      </c>
      <c r="W2990" s="219">
        <v>302.12</v>
      </c>
    </row>
    <row r="2991" spans="1:23" s="46" customFormat="1" ht="15" customHeight="1">
      <c r="A2991" s="5"/>
      <c r="B2991" s="5"/>
      <c r="C2991" s="3">
        <v>70</v>
      </c>
      <c r="D2991" s="47"/>
      <c r="E2991" s="47"/>
      <c r="F2991" s="47"/>
      <c r="G2991" s="56"/>
      <c r="H2991" s="56"/>
      <c r="I2991" s="56"/>
      <c r="J2991" s="56"/>
      <c r="K2991" s="56"/>
      <c r="L2991" s="56"/>
      <c r="M2991" s="56"/>
      <c r="N2991" s="56"/>
      <c r="O2991" s="289"/>
      <c r="P2991" s="221"/>
      <c r="Q2991" s="221"/>
      <c r="R2991" s="221"/>
      <c r="S2991" s="221"/>
      <c r="T2991" s="221"/>
      <c r="U2991" s="221"/>
      <c r="V2991" s="221"/>
      <c r="W2991" s="221"/>
    </row>
    <row r="2992" spans="1:23" s="33" customFormat="1" ht="15" customHeight="1" thickBot="1">
      <c r="A2992" s="2"/>
      <c r="B2992" s="2" t="s">
        <v>2318</v>
      </c>
      <c r="C2992" s="3">
        <v>70</v>
      </c>
      <c r="D2992" s="335" t="str">
        <f>+D3016</f>
        <v>*** FUND 70 REVENUES OVER(UNDER) EXPENSES ***</v>
      </c>
      <c r="E2992" s="336"/>
      <c r="F2992" s="336">
        <f>+F3016</f>
        <v>0</v>
      </c>
      <c r="G2992" s="336">
        <f>+G3016</f>
        <v>10614</v>
      </c>
      <c r="H2992" s="336">
        <f t="shared" ref="H2992:N2992" si="307">+H3016</f>
        <v>51155</v>
      </c>
      <c r="I2992" s="336">
        <f t="shared" si="307"/>
        <v>69235</v>
      </c>
      <c r="J2992" s="336">
        <f t="shared" si="307"/>
        <v>116625</v>
      </c>
      <c r="K2992" s="336">
        <f t="shared" si="307"/>
        <v>0</v>
      </c>
      <c r="L2992" s="336">
        <f t="shared" si="307"/>
        <v>-46460</v>
      </c>
      <c r="M2992" s="336">
        <f t="shared" si="307"/>
        <v>-263845</v>
      </c>
      <c r="N2992" s="336">
        <f t="shared" si="307"/>
        <v>-8700</v>
      </c>
      <c r="O2992" s="301"/>
      <c r="P2992" s="214">
        <v>2519</v>
      </c>
      <c r="Q2992" s="215">
        <v>70</v>
      </c>
      <c r="R2992" s="216" t="s">
        <v>2619</v>
      </c>
      <c r="S2992" s="217"/>
      <c r="T2992" s="218">
        <v>0</v>
      </c>
      <c r="U2992" s="218">
        <v>-64369.66</v>
      </c>
      <c r="V2992" s="219">
        <v>-110829.98</v>
      </c>
      <c r="W2992" s="219">
        <v>0</v>
      </c>
    </row>
    <row r="2993" spans="1:23" s="46" customFormat="1" ht="15" customHeight="1" thickTop="1">
      <c r="A2993" s="5"/>
      <c r="B2993" s="5"/>
      <c r="C2993" s="3">
        <v>70</v>
      </c>
      <c r="D2993" s="58"/>
      <c r="E2993" s="56"/>
      <c r="F2993" s="56"/>
      <c r="G2993" s="56"/>
      <c r="H2993" s="56"/>
      <c r="I2993" s="56"/>
      <c r="J2993" s="56"/>
      <c r="K2993" s="56"/>
      <c r="L2993" s="56"/>
      <c r="M2993" s="56"/>
      <c r="N2993" s="56"/>
      <c r="O2993" s="289"/>
      <c r="P2993" s="221"/>
      <c r="Q2993" s="221"/>
      <c r="R2993" s="221"/>
      <c r="S2993" s="221"/>
      <c r="T2993" s="221"/>
      <c r="U2993" s="221"/>
      <c r="V2993" s="221"/>
      <c r="W2993" s="221"/>
    </row>
    <row r="2994" spans="1:23" ht="15" customHeight="1">
      <c r="C2994" s="3">
        <v>70</v>
      </c>
      <c r="D2994" s="54" t="s">
        <v>2875</v>
      </c>
      <c r="E2994" s="54"/>
      <c r="F2994" s="192"/>
      <c r="G2994" s="55"/>
      <c r="H2994" s="55"/>
      <c r="I2994" s="55"/>
      <c r="J2994" s="55">
        <f>J2978+J2992</f>
        <v>301129.65999999997</v>
      </c>
      <c r="K2994" s="55">
        <f>+K2978+K2984-K2990</f>
        <v>301129.65999999997</v>
      </c>
      <c r="L2994" s="55"/>
      <c r="M2994" s="55">
        <f>+M2978+M2984-M2990</f>
        <v>37284.659999999974</v>
      </c>
      <c r="N2994" s="55">
        <f>+N2978+N2984-N2990</f>
        <v>28584.659999999974</v>
      </c>
      <c r="O2994" s="253"/>
      <c r="P2994" s="203"/>
      <c r="Q2994" s="204"/>
      <c r="R2994" s="205"/>
      <c r="S2994" s="206"/>
      <c r="T2994" s="207"/>
      <c r="U2994" s="207"/>
      <c r="V2994" s="208"/>
      <c r="W2994" s="212"/>
    </row>
    <row r="2995" spans="1:23" s="46" customFormat="1" ht="15" customHeight="1">
      <c r="A2995" s="195"/>
      <c r="B2995" s="195"/>
      <c r="C2995" s="3">
        <v>70</v>
      </c>
      <c r="D2995" s="58"/>
      <c r="E2995" s="56"/>
      <c r="F2995" s="56"/>
      <c r="G2995" s="56"/>
      <c r="H2995" s="56"/>
      <c r="I2995" s="56"/>
      <c r="J2995" s="56"/>
      <c r="K2995" s="56"/>
      <c r="L2995" s="56"/>
      <c r="M2995" s="26"/>
      <c r="N2995" s="26"/>
      <c r="O2995" s="289"/>
      <c r="P2995" s="221"/>
      <c r="Q2995" s="221"/>
      <c r="R2995" s="221"/>
      <c r="S2995" s="221"/>
      <c r="T2995" s="221"/>
      <c r="U2995" s="221"/>
      <c r="V2995" s="221"/>
      <c r="W2995" s="221"/>
    </row>
    <row r="2996" spans="1:23" ht="15" customHeight="1">
      <c r="C2996" s="3">
        <v>70</v>
      </c>
      <c r="D2996" s="15">
        <v>4330</v>
      </c>
      <c r="E2996" s="312" t="s">
        <v>1669</v>
      </c>
      <c r="G2996" s="26">
        <v>0</v>
      </c>
      <c r="H2996" s="26">
        <v>0</v>
      </c>
      <c r="I2996" s="26">
        <v>4006</v>
      </c>
      <c r="J2996" s="26">
        <v>2433</v>
      </c>
      <c r="K2996" s="26">
        <v>2000</v>
      </c>
      <c r="L2996" s="26">
        <v>1546</v>
      </c>
      <c r="M2996" s="26">
        <v>2000</v>
      </c>
      <c r="N2996" s="26">
        <f>25*12</f>
        <v>300</v>
      </c>
      <c r="O2996" s="285"/>
      <c r="P2996" s="214">
        <v>2520</v>
      </c>
      <c r="Q2996" s="215">
        <v>70</v>
      </c>
      <c r="R2996" s="216">
        <v>4330</v>
      </c>
      <c r="S2996" s="217" t="s">
        <v>1669</v>
      </c>
      <c r="T2996" s="218">
        <v>2000</v>
      </c>
      <c r="U2996" s="218">
        <v>197.28</v>
      </c>
      <c r="V2996" s="219">
        <v>1743.24</v>
      </c>
      <c r="W2996" s="219">
        <v>87.16</v>
      </c>
    </row>
    <row r="2997" spans="1:23" ht="15" customHeight="1">
      <c r="C2997" s="3">
        <v>70</v>
      </c>
      <c r="D2997" s="15">
        <v>4690</v>
      </c>
      <c r="E2997" s="312" t="s">
        <v>63</v>
      </c>
      <c r="G2997" s="26">
        <v>9000</v>
      </c>
      <c r="H2997" s="26">
        <v>0</v>
      </c>
      <c r="I2997" s="26">
        <v>0</v>
      </c>
      <c r="J2997" s="26">
        <v>0</v>
      </c>
      <c r="K2997" s="26">
        <v>0</v>
      </c>
      <c r="L2997" s="26">
        <v>0</v>
      </c>
      <c r="M2997" s="26">
        <v>0</v>
      </c>
      <c r="N2997" s="26">
        <v>0</v>
      </c>
      <c r="O2997" s="285"/>
      <c r="P2997" s="214">
        <v>2521</v>
      </c>
      <c r="Q2997" s="215">
        <v>70</v>
      </c>
      <c r="R2997" s="216">
        <v>4690</v>
      </c>
      <c r="S2997" s="217" t="s">
        <v>63</v>
      </c>
      <c r="T2997" s="218">
        <v>0</v>
      </c>
      <c r="U2997" s="218">
        <v>0</v>
      </c>
      <c r="V2997" s="219">
        <v>0</v>
      </c>
      <c r="W2997" s="219">
        <v>0</v>
      </c>
    </row>
    <row r="2998" spans="1:23" ht="15" customHeight="1">
      <c r="C2998" s="3">
        <v>70</v>
      </c>
      <c r="D2998" s="15">
        <v>4700</v>
      </c>
      <c r="E2998" s="312" t="s">
        <v>1906</v>
      </c>
      <c r="G2998" s="26">
        <v>0</v>
      </c>
      <c r="H2998" s="26">
        <v>0</v>
      </c>
      <c r="I2998" s="26">
        <v>0</v>
      </c>
      <c r="J2998" s="26">
        <v>0</v>
      </c>
      <c r="K2998" s="26">
        <v>0</v>
      </c>
      <c r="L2998" s="26">
        <v>0</v>
      </c>
      <c r="M2998" s="26">
        <v>0</v>
      </c>
      <c r="N2998" s="26">
        <v>0</v>
      </c>
      <c r="O2998" s="285"/>
      <c r="P2998" s="214">
        <v>2522</v>
      </c>
      <c r="Q2998" s="215">
        <v>70</v>
      </c>
      <c r="R2998" s="216">
        <v>4700</v>
      </c>
      <c r="S2998" s="217" t="s">
        <v>1906</v>
      </c>
      <c r="T2998" s="218">
        <v>0</v>
      </c>
      <c r="U2998" s="218">
        <v>0</v>
      </c>
      <c r="V2998" s="219">
        <v>0</v>
      </c>
      <c r="W2998" s="219">
        <v>0</v>
      </c>
    </row>
    <row r="2999" spans="1:23" ht="15" customHeight="1">
      <c r="C2999" s="3">
        <v>70</v>
      </c>
      <c r="D2999" s="15">
        <v>4800</v>
      </c>
      <c r="E2999" s="312" t="s">
        <v>1907</v>
      </c>
      <c r="G2999" s="26">
        <v>75001</v>
      </c>
      <c r="H2999" s="26">
        <v>68155</v>
      </c>
      <c r="I2999" s="26">
        <v>65340</v>
      </c>
      <c r="J2999" s="26">
        <v>113357</v>
      </c>
      <c r="K2999" s="26">
        <v>50000</v>
      </c>
      <c r="L2999" s="26">
        <v>23172</v>
      </c>
      <c r="M2999" s="26">
        <v>40000</v>
      </c>
      <c r="N2999" s="26">
        <v>36000</v>
      </c>
      <c r="O2999" s="285"/>
      <c r="P2999" s="214">
        <v>2523</v>
      </c>
      <c r="Q2999" s="215">
        <v>70</v>
      </c>
      <c r="R2999" s="216">
        <v>4800</v>
      </c>
      <c r="S2999" s="217" t="s">
        <v>1907</v>
      </c>
      <c r="T2999" s="218">
        <v>50000</v>
      </c>
      <c r="U2999" s="218">
        <v>3575.31</v>
      </c>
      <c r="V2999" s="219">
        <v>26747.13</v>
      </c>
      <c r="W2999" s="219">
        <v>53.49</v>
      </c>
    </row>
    <row r="3000" spans="1:23" ht="15" customHeight="1">
      <c r="C3000" s="3">
        <v>70</v>
      </c>
      <c r="D3000" s="15" t="s">
        <v>1908</v>
      </c>
      <c r="E3000" s="312" t="s">
        <v>1909</v>
      </c>
      <c r="G3000" s="26">
        <v>0</v>
      </c>
      <c r="H3000" s="26">
        <v>0</v>
      </c>
      <c r="I3000" s="26">
        <v>0</v>
      </c>
      <c r="J3000" s="26">
        <v>1000</v>
      </c>
      <c r="K3000" s="26">
        <v>2000</v>
      </c>
      <c r="L3000" s="26">
        <v>300</v>
      </c>
      <c r="M3000" s="26">
        <v>300</v>
      </c>
      <c r="N3000" s="26">
        <v>0</v>
      </c>
      <c r="O3000" s="285"/>
      <c r="P3000" s="214">
        <v>2524</v>
      </c>
      <c r="Q3000" s="215">
        <v>70</v>
      </c>
      <c r="R3000" s="216" t="s">
        <v>1908</v>
      </c>
      <c r="S3000" s="217" t="s">
        <v>1909</v>
      </c>
      <c r="T3000" s="218">
        <v>2000</v>
      </c>
      <c r="U3000" s="218">
        <v>0</v>
      </c>
      <c r="V3000" s="219">
        <v>300</v>
      </c>
      <c r="W3000" s="219">
        <v>15</v>
      </c>
    </row>
    <row r="3001" spans="1:23" ht="15" customHeight="1">
      <c r="C3001" s="3">
        <v>70</v>
      </c>
      <c r="D3001" s="15">
        <v>4900</v>
      </c>
      <c r="E3001" s="312" t="s">
        <v>1910</v>
      </c>
      <c r="G3001" s="26">
        <v>16000</v>
      </c>
      <c r="H3001" s="26">
        <v>0</v>
      </c>
      <c r="I3001" s="26">
        <v>0</v>
      </c>
      <c r="J3001" s="26">
        <v>0</v>
      </c>
      <c r="K3001" s="26">
        <v>0</v>
      </c>
      <c r="L3001" s="26">
        <v>0</v>
      </c>
      <c r="M3001" s="26">
        <v>0</v>
      </c>
      <c r="N3001" s="26">
        <v>0</v>
      </c>
      <c r="O3001" s="285"/>
      <c r="P3001" s="214">
        <v>2525</v>
      </c>
      <c r="Q3001" s="215">
        <v>70</v>
      </c>
      <c r="R3001" s="216">
        <v>4900</v>
      </c>
      <c r="S3001" s="217" t="s">
        <v>1910</v>
      </c>
      <c r="T3001" s="218">
        <v>0</v>
      </c>
      <c r="U3001" s="218">
        <v>0</v>
      </c>
      <c r="V3001" s="219">
        <v>0</v>
      </c>
      <c r="W3001" s="219">
        <v>0</v>
      </c>
    </row>
    <row r="3002" spans="1:23" ht="15" customHeight="1">
      <c r="C3002" s="3">
        <v>70</v>
      </c>
      <c r="D3002" s="15" t="s">
        <v>2531</v>
      </c>
      <c r="E3002" s="312" t="s">
        <v>2532</v>
      </c>
      <c r="G3002" s="26">
        <v>0</v>
      </c>
      <c r="H3002" s="26">
        <v>0</v>
      </c>
      <c r="I3002" s="26">
        <v>0</v>
      </c>
      <c r="J3002" s="26">
        <v>0</v>
      </c>
      <c r="K3002" s="26">
        <v>0</v>
      </c>
      <c r="L3002" s="26">
        <v>23523</v>
      </c>
      <c r="M3002" s="26">
        <v>23523</v>
      </c>
      <c r="N3002" s="26">
        <v>0</v>
      </c>
      <c r="O3002" s="285"/>
      <c r="P3002" s="214">
        <v>2526</v>
      </c>
      <c r="Q3002" s="215">
        <v>70</v>
      </c>
      <c r="R3002" s="216" t="s">
        <v>2531</v>
      </c>
      <c r="S3002" s="217" t="s">
        <v>2532</v>
      </c>
      <c r="T3002" s="218">
        <v>0</v>
      </c>
      <c r="U3002" s="218">
        <v>0</v>
      </c>
      <c r="V3002" s="219">
        <v>23523</v>
      </c>
      <c r="W3002" s="219">
        <v>0</v>
      </c>
    </row>
    <row r="3003" spans="1:23" ht="15" customHeight="1">
      <c r="C3003" s="3">
        <v>70</v>
      </c>
      <c r="E3003" s="14"/>
      <c r="G3003" s="26"/>
      <c r="H3003" s="26"/>
      <c r="I3003" s="26"/>
      <c r="J3003" s="26"/>
      <c r="K3003" s="26"/>
      <c r="L3003" s="26"/>
      <c r="M3003" s="26"/>
      <c r="N3003" s="26"/>
      <c r="O3003" s="293"/>
      <c r="P3003" s="222"/>
      <c r="Q3003" s="222"/>
      <c r="R3003" s="222"/>
      <c r="S3003" s="223"/>
      <c r="T3003" s="223"/>
      <c r="U3003" s="223"/>
      <c r="V3003" s="224"/>
      <c r="W3003" s="224"/>
    </row>
    <row r="3004" spans="1:23" s="27" customFormat="1" ht="15" customHeight="1" thickBot="1">
      <c r="A3004" s="2"/>
      <c r="B3004" s="2" t="s">
        <v>2317</v>
      </c>
      <c r="C3004" s="3">
        <v>70</v>
      </c>
      <c r="D3004" s="68" t="s">
        <v>2301</v>
      </c>
      <c r="E3004" s="68"/>
      <c r="F3004" s="320"/>
      <c r="G3004" s="69">
        <f>SUM(G2995:G3003)</f>
        <v>100001</v>
      </c>
      <c r="H3004" s="69">
        <f t="shared" ref="H3004:N3004" si="308">SUM(H2995:H3003)</f>
        <v>68155</v>
      </c>
      <c r="I3004" s="69">
        <f t="shared" si="308"/>
        <v>69346</v>
      </c>
      <c r="J3004" s="69">
        <f t="shared" si="308"/>
        <v>116790</v>
      </c>
      <c r="K3004" s="69">
        <f t="shared" si="308"/>
        <v>54000</v>
      </c>
      <c r="L3004" s="69">
        <f t="shared" si="308"/>
        <v>48541</v>
      </c>
      <c r="M3004" s="69">
        <f t="shared" si="308"/>
        <v>65823</v>
      </c>
      <c r="N3004" s="69">
        <f t="shared" si="308"/>
        <v>36300</v>
      </c>
      <c r="O3004" s="281"/>
      <c r="P3004" s="214">
        <v>2527</v>
      </c>
      <c r="Q3004" s="215">
        <v>70</v>
      </c>
      <c r="R3004" s="216" t="s">
        <v>2620</v>
      </c>
      <c r="S3004" s="217"/>
      <c r="T3004" s="218">
        <v>54000</v>
      </c>
      <c r="U3004" s="218">
        <v>3772.59</v>
      </c>
      <c r="V3004" s="219">
        <v>52313.37</v>
      </c>
      <c r="W3004" s="219">
        <v>96.88</v>
      </c>
    </row>
    <row r="3005" spans="1:23" s="46" customFormat="1" ht="15" customHeight="1" thickTop="1">
      <c r="A3005" s="5"/>
      <c r="B3005" s="5"/>
      <c r="C3005" s="3">
        <v>70</v>
      </c>
      <c r="D3005" s="47"/>
      <c r="E3005" s="47"/>
      <c r="F3005" s="191"/>
      <c r="G3005" s="56"/>
      <c r="H3005" s="56"/>
      <c r="I3005" s="56"/>
      <c r="J3005" s="56"/>
      <c r="K3005" s="56"/>
      <c r="L3005" s="56"/>
      <c r="M3005" s="56"/>
      <c r="N3005" s="56"/>
      <c r="O3005" s="289"/>
      <c r="P3005" s="221"/>
      <c r="Q3005" s="221"/>
      <c r="R3005" s="221"/>
      <c r="S3005" s="221"/>
      <c r="T3005" s="221"/>
      <c r="U3005" s="221"/>
      <c r="V3005" s="221"/>
      <c r="W3005" s="221"/>
    </row>
    <row r="3006" spans="1:23" ht="15" customHeight="1">
      <c r="C3006" s="3">
        <v>70</v>
      </c>
      <c r="D3006" s="47" t="s">
        <v>1972</v>
      </c>
      <c r="G3006" s="26"/>
      <c r="H3006" s="26"/>
      <c r="I3006" s="26"/>
      <c r="J3006" s="26"/>
      <c r="K3006" s="26"/>
      <c r="L3006" s="26"/>
      <c r="M3006" s="26"/>
      <c r="N3006" s="26"/>
      <c r="P3006" s="214">
        <v>2528</v>
      </c>
      <c r="Q3006" s="215">
        <v>70</v>
      </c>
      <c r="R3006" s="216" t="s">
        <v>104</v>
      </c>
      <c r="S3006" s="217"/>
      <c r="T3006" s="218"/>
      <c r="U3006" s="218"/>
      <c r="V3006" s="219"/>
      <c r="W3006" s="219"/>
    </row>
    <row r="3007" spans="1:23" ht="15" customHeight="1">
      <c r="C3007" s="3">
        <v>70</v>
      </c>
      <c r="G3007" s="26"/>
      <c r="H3007" s="26"/>
      <c r="I3007" s="26"/>
      <c r="J3007" s="26"/>
      <c r="K3007" s="26"/>
      <c r="L3007" s="26"/>
      <c r="M3007" s="26"/>
      <c r="N3007" s="26"/>
      <c r="P3007" s="214">
        <v>2529</v>
      </c>
      <c r="Q3007" s="215">
        <v>70</v>
      </c>
      <c r="R3007" s="216" t="s">
        <v>2624</v>
      </c>
      <c r="S3007" s="217"/>
      <c r="T3007" s="218"/>
      <c r="U3007" s="218"/>
      <c r="V3007" s="219"/>
      <c r="W3007" s="219"/>
    </row>
    <row r="3008" spans="1:23" ht="15" customHeight="1">
      <c r="C3008" s="3">
        <v>70</v>
      </c>
      <c r="D3008" s="15" t="s">
        <v>1911</v>
      </c>
      <c r="E3008" s="312" t="s">
        <v>1912</v>
      </c>
      <c r="G3008" s="26">
        <v>89387</v>
      </c>
      <c r="H3008" s="26">
        <v>17000</v>
      </c>
      <c r="I3008" s="26">
        <v>111</v>
      </c>
      <c r="J3008" s="26">
        <v>165</v>
      </c>
      <c r="K3008" s="26">
        <v>54000</v>
      </c>
      <c r="L3008" s="26">
        <v>95001</v>
      </c>
      <c r="M3008" s="26">
        <v>329668</v>
      </c>
      <c r="N3008" s="26">
        <v>45000</v>
      </c>
      <c r="O3008" s="285"/>
      <c r="P3008" s="214">
        <v>2530</v>
      </c>
      <c r="Q3008" s="215">
        <v>70</v>
      </c>
      <c r="R3008" s="216" t="s">
        <v>1911</v>
      </c>
      <c r="S3008" s="217" t="s">
        <v>1912</v>
      </c>
      <c r="T3008" s="218">
        <v>54000</v>
      </c>
      <c r="U3008" s="218">
        <v>68142.25</v>
      </c>
      <c r="V3008" s="219">
        <v>163143.35</v>
      </c>
      <c r="W3008" s="219">
        <v>302.12</v>
      </c>
    </row>
    <row r="3009" spans="1:23" ht="15" customHeight="1">
      <c r="C3009" s="3">
        <v>70</v>
      </c>
      <c r="G3009" s="26"/>
      <c r="H3009" s="26"/>
      <c r="I3009" s="26"/>
      <c r="J3009" s="26"/>
      <c r="K3009" s="26"/>
      <c r="L3009" s="26"/>
      <c r="M3009" s="26"/>
      <c r="N3009" s="26"/>
      <c r="P3009" s="214">
        <v>2531</v>
      </c>
      <c r="Q3009" s="215">
        <v>70</v>
      </c>
      <c r="R3009" s="216" t="s">
        <v>2623</v>
      </c>
      <c r="S3009" s="217"/>
      <c r="T3009" s="218"/>
      <c r="U3009" s="218"/>
      <c r="V3009" s="219"/>
      <c r="W3009" s="219"/>
    </row>
    <row r="3010" spans="1:23" s="200" customFormat="1" ht="15" customHeight="1">
      <c r="A3010" s="196" t="s">
        <v>104</v>
      </c>
      <c r="B3010" s="196" t="s">
        <v>2317</v>
      </c>
      <c r="C3010" s="75">
        <v>70</v>
      </c>
      <c r="D3010" s="323" t="s">
        <v>1969</v>
      </c>
      <c r="E3010" s="323"/>
      <c r="F3010" s="324"/>
      <c r="G3010" s="325">
        <f>SUM(G3006:G3009)</f>
        <v>89387</v>
      </c>
      <c r="H3010" s="325">
        <f t="shared" ref="H3010:N3010" si="309">SUM(H3006:H3009)</f>
        <v>17000</v>
      </c>
      <c r="I3010" s="325">
        <f t="shared" si="309"/>
        <v>111</v>
      </c>
      <c r="J3010" s="325">
        <f t="shared" si="309"/>
        <v>165</v>
      </c>
      <c r="K3010" s="325">
        <f t="shared" si="309"/>
        <v>54000</v>
      </c>
      <c r="L3010" s="325">
        <f t="shared" si="309"/>
        <v>95001</v>
      </c>
      <c r="M3010" s="325">
        <f t="shared" si="309"/>
        <v>329668</v>
      </c>
      <c r="N3010" s="325">
        <f t="shared" si="309"/>
        <v>45000</v>
      </c>
      <c r="O3010" s="287"/>
      <c r="P3010" s="214">
        <v>2532</v>
      </c>
      <c r="Q3010" s="215">
        <v>70</v>
      </c>
      <c r="R3010" s="216" t="s">
        <v>104</v>
      </c>
      <c r="S3010" s="217"/>
      <c r="T3010" s="218">
        <v>54000</v>
      </c>
      <c r="U3010" s="218">
        <v>68142.25</v>
      </c>
      <c r="V3010" s="219">
        <v>163143.35</v>
      </c>
      <c r="W3010" s="219">
        <v>0</v>
      </c>
    </row>
    <row r="3011" spans="1:23" ht="15" customHeight="1">
      <c r="C3011" s="3">
        <v>70</v>
      </c>
      <c r="G3011" s="26"/>
      <c r="H3011" s="26"/>
      <c r="I3011" s="26"/>
      <c r="J3011" s="26"/>
      <c r="K3011" s="26"/>
      <c r="L3011" s="26"/>
      <c r="M3011" s="26"/>
      <c r="N3011" s="26"/>
      <c r="P3011" s="214">
        <v>2533</v>
      </c>
      <c r="Q3011" s="215">
        <v>70</v>
      </c>
      <c r="R3011" s="216" t="s">
        <v>2623</v>
      </c>
      <c r="S3011" s="217"/>
      <c r="T3011" s="218"/>
      <c r="U3011" s="218"/>
      <c r="V3011" s="219"/>
      <c r="W3011" s="219"/>
    </row>
    <row r="3012" spans="1:23" ht="15" customHeight="1">
      <c r="B3012" s="2" t="s">
        <v>2317</v>
      </c>
      <c r="C3012" s="3">
        <v>70</v>
      </c>
      <c r="D3012" s="47" t="s">
        <v>1667</v>
      </c>
      <c r="G3012" s="26">
        <f>SUM(G3011:G3011)</f>
        <v>0</v>
      </c>
      <c r="H3012" s="26">
        <f t="shared" ref="H3012:N3012" si="310">SUM(H3011:H3011)</f>
        <v>0</v>
      </c>
      <c r="I3012" s="26">
        <f t="shared" si="310"/>
        <v>0</v>
      </c>
      <c r="J3012" s="26">
        <f t="shared" si="310"/>
        <v>0</v>
      </c>
      <c r="K3012" s="26">
        <f t="shared" si="310"/>
        <v>0</v>
      </c>
      <c r="L3012" s="26">
        <f t="shared" si="310"/>
        <v>0</v>
      </c>
      <c r="M3012" s="26">
        <f t="shared" si="310"/>
        <v>0</v>
      </c>
      <c r="N3012" s="26">
        <f t="shared" si="310"/>
        <v>0</v>
      </c>
      <c r="P3012" s="214">
        <v>2534</v>
      </c>
      <c r="Q3012" s="215">
        <v>70</v>
      </c>
      <c r="R3012" s="216" t="s">
        <v>1667</v>
      </c>
      <c r="S3012" s="217"/>
      <c r="T3012" s="218">
        <v>54000</v>
      </c>
      <c r="U3012" s="218">
        <v>68142.25</v>
      </c>
      <c r="V3012" s="219">
        <v>163143.35</v>
      </c>
      <c r="W3012" s="219">
        <v>302.12</v>
      </c>
    </row>
    <row r="3013" spans="1:23" ht="15" customHeight="1">
      <c r="C3013" s="3">
        <v>70</v>
      </c>
      <c r="D3013" s="47"/>
      <c r="G3013" s="26"/>
      <c r="H3013" s="26"/>
      <c r="I3013" s="26"/>
      <c r="J3013" s="26"/>
      <c r="K3013" s="26"/>
      <c r="L3013" s="26"/>
      <c r="M3013" s="26"/>
      <c r="N3013" s="26"/>
      <c r="P3013" s="222"/>
      <c r="Q3013" s="222"/>
      <c r="R3013" s="222"/>
      <c r="S3013" s="223"/>
      <c r="T3013" s="223"/>
      <c r="U3013" s="223"/>
      <c r="V3013" s="224"/>
      <c r="W3013" s="224"/>
    </row>
    <row r="3014" spans="1:23" s="31" customFormat="1" ht="15" customHeight="1">
      <c r="A3014" s="2"/>
      <c r="B3014" s="2" t="s">
        <v>2317</v>
      </c>
      <c r="C3014" s="3">
        <v>70</v>
      </c>
      <c r="D3014" s="54" t="s">
        <v>2278</v>
      </c>
      <c r="E3014" s="54"/>
      <c r="F3014" s="192"/>
      <c r="G3014" s="339">
        <f>+G3012+G3010</f>
        <v>89387</v>
      </c>
      <c r="H3014" s="339">
        <f>+H3012+H3010</f>
        <v>17000</v>
      </c>
      <c r="I3014" s="339">
        <f t="shared" ref="I3014:N3014" si="311">+I3012+I3010</f>
        <v>111</v>
      </c>
      <c r="J3014" s="339">
        <f t="shared" si="311"/>
        <v>165</v>
      </c>
      <c r="K3014" s="339">
        <f t="shared" si="311"/>
        <v>54000</v>
      </c>
      <c r="L3014" s="339">
        <f t="shared" si="311"/>
        <v>95001</v>
      </c>
      <c r="M3014" s="339">
        <f t="shared" si="311"/>
        <v>329668</v>
      </c>
      <c r="N3014" s="339">
        <f t="shared" si="311"/>
        <v>45000</v>
      </c>
      <c r="O3014" s="305"/>
      <c r="P3014" s="214">
        <v>2535</v>
      </c>
      <c r="Q3014" s="215">
        <v>70</v>
      </c>
      <c r="R3014" s="216" t="s">
        <v>2618</v>
      </c>
      <c r="S3014" s="217"/>
      <c r="T3014" s="218">
        <v>54000</v>
      </c>
      <c r="U3014" s="218">
        <v>68142.25</v>
      </c>
      <c r="V3014" s="219">
        <v>163143.35</v>
      </c>
      <c r="W3014" s="219">
        <v>302.12</v>
      </c>
    </row>
    <row r="3015" spans="1:23" s="46" customFormat="1" ht="15" customHeight="1">
      <c r="A3015" s="5"/>
      <c r="B3015" s="5"/>
      <c r="C3015" s="3">
        <v>70</v>
      </c>
      <c r="D3015" s="47"/>
      <c r="E3015" s="47"/>
      <c r="F3015" s="191"/>
      <c r="G3015" s="56"/>
      <c r="H3015" s="56"/>
      <c r="I3015" s="56"/>
      <c r="J3015" s="56"/>
      <c r="K3015" s="56"/>
      <c r="L3015" s="56"/>
      <c r="M3015" s="56"/>
      <c r="N3015" s="56"/>
      <c r="O3015" s="289"/>
      <c r="P3015" s="221"/>
      <c r="Q3015" s="221"/>
      <c r="R3015" s="221"/>
      <c r="S3015" s="221"/>
      <c r="T3015" s="221"/>
      <c r="U3015" s="221"/>
      <c r="V3015" s="221"/>
      <c r="W3015" s="221"/>
    </row>
    <row r="3016" spans="1:23" s="33" customFormat="1" ht="15" customHeight="1" thickBot="1">
      <c r="A3016" s="2"/>
      <c r="B3016" s="2" t="s">
        <v>2317</v>
      </c>
      <c r="C3016" s="3">
        <v>70</v>
      </c>
      <c r="D3016" s="329" t="s">
        <v>2253</v>
      </c>
      <c r="E3016" s="329"/>
      <c r="F3016" s="330"/>
      <c r="G3016" s="336">
        <f>+G3004-G3014</f>
        <v>10614</v>
      </c>
      <c r="H3016" s="336">
        <f t="shared" ref="H3016:N3016" si="312">+H3004-H3014</f>
        <v>51155</v>
      </c>
      <c r="I3016" s="336">
        <f t="shared" si="312"/>
        <v>69235</v>
      </c>
      <c r="J3016" s="336">
        <f t="shared" si="312"/>
        <v>116625</v>
      </c>
      <c r="K3016" s="336">
        <f t="shared" si="312"/>
        <v>0</v>
      </c>
      <c r="L3016" s="336">
        <f t="shared" si="312"/>
        <v>-46460</v>
      </c>
      <c r="M3016" s="336">
        <f t="shared" si="312"/>
        <v>-263845</v>
      </c>
      <c r="N3016" s="336">
        <f t="shared" si="312"/>
        <v>-8700</v>
      </c>
      <c r="O3016" s="301"/>
      <c r="P3016" s="214">
        <v>2536</v>
      </c>
      <c r="Q3016" s="215">
        <v>70</v>
      </c>
      <c r="R3016" s="216" t="s">
        <v>2619</v>
      </c>
      <c r="S3016" s="217"/>
      <c r="T3016" s="218">
        <v>0</v>
      </c>
      <c r="U3016" s="218">
        <v>-64369.66</v>
      </c>
      <c r="V3016" s="219">
        <v>-110829.98</v>
      </c>
      <c r="W3016" s="219">
        <v>0</v>
      </c>
    </row>
    <row r="3017" spans="1:23" s="46" customFormat="1" ht="15" customHeight="1" thickTop="1">
      <c r="A3017" s="5"/>
      <c r="B3017" s="5"/>
      <c r="C3017" s="3">
        <v>70</v>
      </c>
      <c r="D3017" s="47"/>
      <c r="E3017" s="47"/>
      <c r="F3017" s="191"/>
      <c r="G3017" s="56"/>
      <c r="H3017" s="56"/>
      <c r="I3017" s="56"/>
      <c r="J3017" s="56"/>
      <c r="K3017" s="56"/>
      <c r="L3017" s="56"/>
      <c r="M3017" s="56"/>
      <c r="N3017" s="56"/>
      <c r="O3017" s="289"/>
      <c r="P3017" s="221"/>
      <c r="Q3017" s="221"/>
      <c r="R3017" s="221"/>
      <c r="S3017" s="221"/>
      <c r="T3017" s="221"/>
      <c r="U3017" s="221"/>
      <c r="V3017" s="221"/>
      <c r="W3017" s="221"/>
    </row>
    <row r="3018" spans="1:23" ht="15" customHeight="1">
      <c r="C3018" s="3">
        <v>70</v>
      </c>
      <c r="D3018" s="54" t="s">
        <v>2875</v>
      </c>
      <c r="E3018" s="54"/>
      <c r="F3018" s="192"/>
      <c r="G3018" s="55"/>
      <c r="H3018" s="55"/>
      <c r="I3018" s="55"/>
      <c r="J3018" s="55">
        <f>J2994</f>
        <v>301129.65999999997</v>
      </c>
      <c r="K3018" s="55">
        <f>+K2994</f>
        <v>301129.65999999997</v>
      </c>
      <c r="L3018" s="55"/>
      <c r="M3018" s="55">
        <f>+M2994</f>
        <v>37284.659999999974</v>
      </c>
      <c r="N3018" s="55">
        <f>+N2994</f>
        <v>28584.659999999974</v>
      </c>
      <c r="O3018" s="253"/>
      <c r="P3018" s="203"/>
      <c r="Q3018" s="204"/>
      <c r="R3018" s="205"/>
      <c r="S3018" s="206"/>
      <c r="T3018" s="207"/>
      <c r="U3018" s="207"/>
      <c r="V3018" s="208"/>
      <c r="W3018" s="212"/>
    </row>
    <row r="3019" spans="1:23" s="46" customFormat="1" ht="15" customHeight="1">
      <c r="A3019" s="195"/>
      <c r="B3019" s="195"/>
      <c r="C3019" s="3">
        <v>70</v>
      </c>
      <c r="D3019" s="47"/>
      <c r="E3019" s="47"/>
      <c r="F3019" s="191"/>
      <c r="G3019" s="56"/>
      <c r="H3019" s="56"/>
      <c r="I3019" s="56"/>
      <c r="J3019" s="56"/>
      <c r="K3019" s="56"/>
      <c r="L3019" s="56"/>
      <c r="M3019" s="56"/>
      <c r="N3019" s="56"/>
      <c r="O3019" s="289"/>
      <c r="P3019" s="221"/>
      <c r="Q3019" s="221"/>
      <c r="R3019" s="221"/>
      <c r="S3019" s="221"/>
      <c r="T3019" s="221"/>
      <c r="U3019" s="221"/>
      <c r="V3019" s="221"/>
      <c r="W3019" s="221"/>
    </row>
    <row r="3020" spans="1:23" s="35" customFormat="1" ht="15" customHeight="1">
      <c r="A3020" s="2"/>
      <c r="B3020" s="2"/>
      <c r="C3020" s="3">
        <v>70</v>
      </c>
      <c r="D3020" s="47" t="s">
        <v>1976</v>
      </c>
      <c r="E3020" s="47"/>
      <c r="F3020" s="191"/>
      <c r="G3020" s="48"/>
      <c r="H3020" s="48"/>
      <c r="I3020" s="48"/>
      <c r="J3020" s="48"/>
      <c r="K3020" s="48"/>
      <c r="L3020" s="48"/>
      <c r="M3020" s="48"/>
      <c r="N3020" s="48"/>
      <c r="O3020" s="276"/>
      <c r="P3020" s="214">
        <v>2537</v>
      </c>
      <c r="Q3020" s="215">
        <v>70</v>
      </c>
      <c r="R3020" s="216" t="s">
        <v>2630</v>
      </c>
      <c r="S3020" s="217"/>
      <c r="T3020" s="218"/>
      <c r="U3020" s="218"/>
      <c r="V3020" s="219"/>
      <c r="W3020" s="219"/>
    </row>
    <row r="3021" spans="1:23" s="35" customFormat="1" ht="15" customHeight="1">
      <c r="A3021" s="2"/>
      <c r="B3021" s="2"/>
      <c r="C3021" s="3"/>
      <c r="D3021" s="47"/>
      <c r="E3021" s="47"/>
      <c r="F3021" s="191"/>
      <c r="G3021" s="48"/>
      <c r="H3021" s="48"/>
      <c r="I3021" s="48"/>
      <c r="J3021" s="48"/>
      <c r="K3021" s="48"/>
      <c r="L3021" s="48"/>
      <c r="M3021" s="48"/>
      <c r="N3021" s="48"/>
      <c r="O3021" s="276"/>
    </row>
    <row r="3022" spans="1:23" s="35" customFormat="1" ht="15" customHeight="1">
      <c r="A3022" s="2"/>
      <c r="B3022" s="2"/>
      <c r="C3022" s="3"/>
      <c r="D3022" s="47"/>
      <c r="E3022" s="47"/>
      <c r="F3022" s="191"/>
      <c r="G3022" s="48"/>
      <c r="H3022" s="48"/>
      <c r="I3022" s="48"/>
      <c r="J3022" s="48"/>
      <c r="K3022" s="48"/>
      <c r="L3022" s="48"/>
      <c r="M3022" s="48"/>
      <c r="N3022" s="48"/>
      <c r="O3022" s="276"/>
    </row>
    <row r="3023" spans="1:23" s="35" customFormat="1" ht="15" customHeight="1">
      <c r="A3023" s="2"/>
      <c r="B3023" s="2"/>
      <c r="C3023" s="3"/>
      <c r="D3023" s="47"/>
      <c r="E3023" s="47"/>
      <c r="F3023" s="191"/>
      <c r="G3023" s="48"/>
      <c r="H3023" s="48"/>
      <c r="I3023" s="48"/>
      <c r="J3023" s="48"/>
      <c r="K3023" s="48"/>
      <c r="L3023" s="48"/>
      <c r="M3023" s="48"/>
      <c r="N3023" s="48"/>
      <c r="O3023" s="276"/>
    </row>
    <row r="3024" spans="1:23" s="35" customFormat="1" ht="15" customHeight="1">
      <c r="A3024" s="2"/>
      <c r="B3024" s="2"/>
      <c r="C3024" s="3">
        <v>75</v>
      </c>
      <c r="D3024" s="47" t="s">
        <v>2391</v>
      </c>
      <c r="E3024" s="47"/>
      <c r="F3024" s="191"/>
      <c r="G3024" s="48"/>
      <c r="H3024" s="48"/>
      <c r="I3024" s="48"/>
      <c r="J3024" s="48"/>
      <c r="K3024" s="48"/>
      <c r="L3024" s="48"/>
      <c r="M3024" s="48"/>
      <c r="N3024" s="48"/>
      <c r="O3024" s="276"/>
    </row>
    <row r="3025" spans="1:23" s="35" customFormat="1" ht="15" customHeight="1">
      <c r="A3025" s="2"/>
      <c r="B3025" s="2"/>
      <c r="C3025" s="3">
        <v>75</v>
      </c>
      <c r="D3025" s="47"/>
      <c r="E3025" s="47"/>
      <c r="F3025" s="191"/>
      <c r="G3025" s="48"/>
      <c r="H3025" s="48"/>
      <c r="I3025" s="48"/>
      <c r="J3025" s="48"/>
      <c r="K3025" s="48"/>
      <c r="L3025" s="48"/>
      <c r="M3025" s="48"/>
      <c r="N3025" s="48"/>
      <c r="O3025" s="276"/>
    </row>
    <row r="3026" spans="1:23" ht="15" customHeight="1">
      <c r="C3026" s="3">
        <v>75</v>
      </c>
      <c r="D3026" s="54" t="s">
        <v>2874</v>
      </c>
      <c r="E3026" s="54"/>
      <c r="F3026" s="192"/>
      <c r="G3026" s="55"/>
      <c r="H3026" s="55"/>
      <c r="I3026" s="55"/>
      <c r="J3026" s="55">
        <f>K3042+J3040</f>
        <v>76884</v>
      </c>
      <c r="K3026" s="55">
        <v>86000</v>
      </c>
      <c r="L3026" s="55"/>
      <c r="M3026" s="55">
        <f>K3026</f>
        <v>86000</v>
      </c>
      <c r="N3026" s="55">
        <f>+M3042</f>
        <v>93783</v>
      </c>
      <c r="O3026" s="278" t="s">
        <v>3058</v>
      </c>
      <c r="P3026" s="203"/>
      <c r="Q3026" s="204"/>
      <c r="R3026" s="205"/>
      <c r="S3026" s="206"/>
      <c r="T3026" s="207"/>
      <c r="U3026" s="207"/>
      <c r="V3026" s="208"/>
      <c r="W3026" s="212"/>
    </row>
    <row r="3027" spans="1:23" s="35" customFormat="1" ht="15" customHeight="1">
      <c r="A3027" s="2"/>
      <c r="B3027" s="2"/>
      <c r="C3027" s="3">
        <v>75</v>
      </c>
      <c r="D3027" s="47"/>
      <c r="E3027" s="47"/>
      <c r="F3027" s="191"/>
      <c r="G3027" s="48"/>
      <c r="H3027" s="48"/>
      <c r="I3027" s="48"/>
      <c r="J3027" s="48"/>
      <c r="K3027" s="48"/>
      <c r="L3027" s="48"/>
      <c r="M3027" s="48"/>
      <c r="N3027" s="48"/>
      <c r="O3027" s="276"/>
    </row>
    <row r="3028" spans="1:23" ht="15" customHeight="1">
      <c r="C3028" s="3">
        <v>75</v>
      </c>
      <c r="D3028" s="47" t="s">
        <v>2228</v>
      </c>
      <c r="G3028" s="26"/>
      <c r="H3028" s="26"/>
      <c r="I3028" s="26"/>
      <c r="J3028" s="26"/>
      <c r="K3028" s="26"/>
      <c r="L3028" s="26"/>
      <c r="M3028" s="26"/>
      <c r="N3028" s="26"/>
      <c r="P3028" s="214">
        <v>2538</v>
      </c>
      <c r="Q3028" s="215">
        <v>75</v>
      </c>
      <c r="R3028" s="216" t="s">
        <v>2610</v>
      </c>
      <c r="S3028" s="217"/>
      <c r="T3028" s="218"/>
      <c r="U3028" s="218"/>
      <c r="V3028" s="219"/>
      <c r="W3028" s="219"/>
    </row>
    <row r="3029" spans="1:23" ht="15" customHeight="1">
      <c r="C3029" s="3">
        <v>75</v>
      </c>
      <c r="G3029" s="26"/>
      <c r="H3029" s="26"/>
      <c r="I3029" s="26"/>
      <c r="J3029" s="26"/>
      <c r="K3029" s="26"/>
      <c r="L3029" s="26"/>
      <c r="M3029" s="26"/>
      <c r="N3029" s="26"/>
      <c r="P3029" s="214">
        <v>2539</v>
      </c>
      <c r="Q3029" s="215">
        <v>75</v>
      </c>
      <c r="R3029" s="216" t="s">
        <v>2611</v>
      </c>
      <c r="S3029" s="217"/>
      <c r="T3029" s="218"/>
      <c r="U3029" s="218"/>
      <c r="V3029" s="219"/>
      <c r="W3029" s="219"/>
    </row>
    <row r="3030" spans="1:23" s="21" customFormat="1" ht="15" customHeight="1">
      <c r="A3030" s="2"/>
      <c r="B3030" s="2" t="s">
        <v>2318</v>
      </c>
      <c r="C3030" s="3">
        <v>75</v>
      </c>
      <c r="D3030" s="54" t="s">
        <v>2204</v>
      </c>
      <c r="E3030" s="54"/>
      <c r="F3030" s="192"/>
      <c r="G3030" s="55">
        <f>+G3032</f>
        <v>0</v>
      </c>
      <c r="H3030" s="55">
        <f t="shared" ref="H3030:N3030" si="313">+H3032</f>
        <v>0</v>
      </c>
      <c r="I3030" s="55">
        <f t="shared" si="313"/>
        <v>61778</v>
      </c>
      <c r="J3030" s="55">
        <f t="shared" si="313"/>
        <v>6384</v>
      </c>
      <c r="K3030" s="55">
        <f t="shared" si="313"/>
        <v>0</v>
      </c>
      <c r="L3030" s="55">
        <f t="shared" si="313"/>
        <v>22662</v>
      </c>
      <c r="M3030" s="55">
        <f t="shared" si="313"/>
        <v>23283</v>
      </c>
      <c r="N3030" s="55">
        <f t="shared" si="313"/>
        <v>0</v>
      </c>
      <c r="O3030" s="279"/>
      <c r="P3030" s="214">
        <v>2540</v>
      </c>
      <c r="Q3030" s="215">
        <v>75</v>
      </c>
      <c r="R3030" s="216" t="s">
        <v>2612</v>
      </c>
      <c r="S3030" s="217"/>
      <c r="T3030" s="218">
        <v>0</v>
      </c>
      <c r="U3030" s="218">
        <v>113</v>
      </c>
      <c r="V3030" s="219">
        <v>22774.91</v>
      </c>
      <c r="W3030" s="219">
        <v>0</v>
      </c>
    </row>
    <row r="3031" spans="1:23" s="57" customFormat="1" ht="15" customHeight="1">
      <c r="A3031" s="5"/>
      <c r="B3031" s="5"/>
      <c r="C3031" s="3">
        <v>75</v>
      </c>
      <c r="D3031" s="54"/>
      <c r="E3031" s="54"/>
      <c r="F3031" s="192"/>
      <c r="G3031" s="55"/>
      <c r="H3031" s="55"/>
      <c r="I3031" s="55"/>
      <c r="J3031" s="55"/>
      <c r="K3031" s="55"/>
      <c r="L3031" s="55"/>
      <c r="M3031" s="55"/>
      <c r="N3031" s="55"/>
      <c r="O3031" s="302"/>
      <c r="P3031" s="220"/>
      <c r="Q3031" s="220"/>
      <c r="R3031" s="220"/>
      <c r="S3031" s="220"/>
      <c r="T3031" s="220"/>
      <c r="U3031" s="220"/>
      <c r="V3031" s="220"/>
      <c r="W3031" s="220"/>
    </row>
    <row r="3032" spans="1:23" s="27" customFormat="1" ht="15" customHeight="1" thickBot="1">
      <c r="A3032" s="2"/>
      <c r="B3032" s="2" t="s">
        <v>2318</v>
      </c>
      <c r="C3032" s="3">
        <v>75</v>
      </c>
      <c r="D3032" s="68" t="str">
        <f>+D3051</f>
        <v>*** TOTAL FUND 75 REVENUES ***</v>
      </c>
      <c r="E3032" s="68"/>
      <c r="F3032" s="68">
        <f>+F3051</f>
        <v>0</v>
      </c>
      <c r="G3032" s="69">
        <f>+G3051</f>
        <v>0</v>
      </c>
      <c r="H3032" s="69">
        <f t="shared" ref="H3032:N3032" si="314">+H3051</f>
        <v>0</v>
      </c>
      <c r="I3032" s="69">
        <f t="shared" si="314"/>
        <v>61778</v>
      </c>
      <c r="J3032" s="69">
        <f t="shared" si="314"/>
        <v>6384</v>
      </c>
      <c r="K3032" s="69">
        <f t="shared" si="314"/>
        <v>0</v>
      </c>
      <c r="L3032" s="69">
        <f t="shared" si="314"/>
        <v>22662</v>
      </c>
      <c r="M3032" s="69">
        <f t="shared" si="314"/>
        <v>23283</v>
      </c>
      <c r="N3032" s="69">
        <f t="shared" si="314"/>
        <v>0</v>
      </c>
      <c r="O3032" s="281"/>
      <c r="P3032" s="214">
        <v>2541</v>
      </c>
      <c r="Q3032" s="215">
        <v>75</v>
      </c>
      <c r="R3032" s="216" t="s">
        <v>2613</v>
      </c>
      <c r="S3032" s="217"/>
      <c r="T3032" s="218">
        <v>0</v>
      </c>
      <c r="U3032" s="218">
        <v>113</v>
      </c>
      <c r="V3032" s="219">
        <v>22774.91</v>
      </c>
      <c r="W3032" s="219">
        <v>0</v>
      </c>
    </row>
    <row r="3033" spans="1:23" s="46" customFormat="1" ht="15" customHeight="1" thickTop="1">
      <c r="A3033" s="5"/>
      <c r="B3033" s="5"/>
      <c r="C3033" s="3">
        <v>75</v>
      </c>
      <c r="D3033" s="47"/>
      <c r="E3033" s="47"/>
      <c r="F3033" s="47"/>
      <c r="G3033" s="56"/>
      <c r="H3033" s="56"/>
      <c r="I3033" s="56"/>
      <c r="J3033" s="56"/>
      <c r="K3033" s="56"/>
      <c r="L3033" s="56"/>
      <c r="M3033" s="56"/>
      <c r="N3033" s="56"/>
      <c r="O3033" s="289"/>
      <c r="P3033" s="221"/>
      <c r="Q3033" s="221"/>
      <c r="R3033" s="221"/>
      <c r="S3033" s="221"/>
      <c r="T3033" s="221"/>
      <c r="U3033" s="221"/>
      <c r="V3033" s="221"/>
      <c r="W3033" s="221"/>
    </row>
    <row r="3034" spans="1:23" ht="15" customHeight="1">
      <c r="C3034" s="3">
        <v>75</v>
      </c>
      <c r="D3034" s="47" t="s">
        <v>1977</v>
      </c>
      <c r="G3034" s="26"/>
      <c r="H3034" s="26"/>
      <c r="I3034" s="26"/>
      <c r="J3034" s="26"/>
      <c r="K3034" s="26"/>
      <c r="L3034" s="26"/>
      <c r="M3034" s="26"/>
      <c r="N3034" s="26"/>
      <c r="P3034" s="214">
        <v>2542</v>
      </c>
      <c r="Q3034" s="215">
        <v>75</v>
      </c>
      <c r="R3034" s="216" t="s">
        <v>2614</v>
      </c>
      <c r="S3034" s="217"/>
      <c r="T3034" s="218"/>
      <c r="U3034" s="218"/>
      <c r="V3034" s="219"/>
      <c r="W3034" s="219"/>
    </row>
    <row r="3035" spans="1:23" ht="15" customHeight="1">
      <c r="C3035" s="3">
        <v>75</v>
      </c>
      <c r="G3035" s="26"/>
      <c r="H3035" s="26"/>
      <c r="I3035" s="26"/>
      <c r="J3035" s="26"/>
      <c r="K3035" s="26"/>
      <c r="L3035" s="26"/>
      <c r="M3035" s="26"/>
      <c r="N3035" s="26"/>
      <c r="P3035" s="214">
        <v>2543</v>
      </c>
      <c r="Q3035" s="215">
        <v>75</v>
      </c>
      <c r="R3035" s="216" t="s">
        <v>2615</v>
      </c>
      <c r="S3035" s="217"/>
      <c r="T3035" s="218"/>
      <c r="U3035" s="218"/>
      <c r="V3035" s="219"/>
      <c r="W3035" s="219"/>
    </row>
    <row r="3036" spans="1:23" ht="15" customHeight="1">
      <c r="B3036" s="2" t="s">
        <v>2318</v>
      </c>
      <c r="C3036" s="3">
        <v>75</v>
      </c>
      <c r="D3036" s="47" t="s">
        <v>1667</v>
      </c>
      <c r="G3036" s="26">
        <f>+G3067</f>
        <v>0</v>
      </c>
      <c r="H3036" s="26">
        <f t="shared" ref="H3036:N3036" si="315">+H3067</f>
        <v>0</v>
      </c>
      <c r="I3036" s="26">
        <f t="shared" si="315"/>
        <v>0</v>
      </c>
      <c r="J3036" s="26">
        <f t="shared" si="315"/>
        <v>0</v>
      </c>
      <c r="K3036" s="26">
        <f t="shared" si="315"/>
        <v>15500</v>
      </c>
      <c r="L3036" s="26">
        <f t="shared" si="315"/>
        <v>1704</v>
      </c>
      <c r="M3036" s="26">
        <f t="shared" si="315"/>
        <v>15500</v>
      </c>
      <c r="N3036" s="26">
        <f t="shared" si="315"/>
        <v>10000</v>
      </c>
      <c r="P3036" s="214">
        <v>2544</v>
      </c>
      <c r="Q3036" s="215">
        <v>75</v>
      </c>
      <c r="R3036" s="216" t="s">
        <v>1667</v>
      </c>
      <c r="S3036" s="217"/>
      <c r="T3036" s="218">
        <v>15500</v>
      </c>
      <c r="U3036" s="218">
        <v>0</v>
      </c>
      <c r="V3036" s="219">
        <v>1703.64</v>
      </c>
      <c r="W3036" s="219">
        <v>10.99</v>
      </c>
    </row>
    <row r="3037" spans="1:23" ht="15" customHeight="1">
      <c r="C3037" s="3">
        <v>75</v>
      </c>
      <c r="D3037" s="47"/>
      <c r="G3037" s="26"/>
      <c r="H3037" s="26"/>
      <c r="I3037" s="26"/>
      <c r="J3037" s="26"/>
      <c r="K3037" s="26"/>
      <c r="L3037" s="26"/>
      <c r="M3037" s="26"/>
      <c r="N3037" s="26"/>
      <c r="P3037" s="222"/>
      <c r="Q3037" s="222"/>
      <c r="R3037" s="222"/>
      <c r="S3037" s="223"/>
      <c r="T3037" s="223"/>
      <c r="U3037" s="223"/>
      <c r="V3037" s="224"/>
      <c r="W3037" s="224"/>
    </row>
    <row r="3038" spans="1:23" s="37" customFormat="1" ht="15" customHeight="1">
      <c r="A3038" s="2"/>
      <c r="B3038" s="2" t="s">
        <v>2318</v>
      </c>
      <c r="C3038" s="3">
        <v>75</v>
      </c>
      <c r="D3038" s="54" t="str">
        <f>+D3069</f>
        <v>*** TOTAL FUND 75 EXPENSES ***</v>
      </c>
      <c r="E3038" s="54"/>
      <c r="F3038" s="54">
        <f t="shared" ref="F3038:N3038" si="316">+F3069</f>
        <v>0</v>
      </c>
      <c r="G3038" s="339">
        <f t="shared" si="316"/>
        <v>0</v>
      </c>
      <c r="H3038" s="339">
        <f t="shared" si="316"/>
        <v>0</v>
      </c>
      <c r="I3038" s="339">
        <f t="shared" si="316"/>
        <v>0</v>
      </c>
      <c r="J3038" s="339">
        <f t="shared" si="316"/>
        <v>0</v>
      </c>
      <c r="K3038" s="339">
        <f t="shared" si="316"/>
        <v>15500</v>
      </c>
      <c r="L3038" s="339">
        <f t="shared" si="316"/>
        <v>1704</v>
      </c>
      <c r="M3038" s="339">
        <f t="shared" si="316"/>
        <v>15500</v>
      </c>
      <c r="N3038" s="339">
        <f t="shared" si="316"/>
        <v>10000</v>
      </c>
      <c r="O3038" s="303"/>
      <c r="P3038" s="214">
        <v>2545</v>
      </c>
      <c r="Q3038" s="215">
        <v>75</v>
      </c>
      <c r="R3038" s="216" t="s">
        <v>2618</v>
      </c>
      <c r="S3038" s="217"/>
      <c r="T3038" s="218">
        <v>15500</v>
      </c>
      <c r="U3038" s="218">
        <v>0</v>
      </c>
      <c r="V3038" s="219">
        <v>1703.64</v>
      </c>
      <c r="W3038" s="219">
        <v>10.99</v>
      </c>
    </row>
    <row r="3039" spans="1:23" s="46" customFormat="1" ht="15" customHeight="1">
      <c r="A3039" s="5"/>
      <c r="B3039" s="5"/>
      <c r="C3039" s="3">
        <v>75</v>
      </c>
      <c r="D3039" s="47"/>
      <c r="E3039" s="47"/>
      <c r="F3039" s="47"/>
      <c r="G3039" s="56"/>
      <c r="H3039" s="56"/>
      <c r="I3039" s="56"/>
      <c r="J3039" s="56"/>
      <c r="K3039" s="56"/>
      <c r="L3039" s="56"/>
      <c r="M3039" s="56"/>
      <c r="N3039" s="56"/>
      <c r="O3039" s="289"/>
      <c r="P3039" s="221"/>
      <c r="Q3039" s="221"/>
      <c r="R3039" s="221"/>
      <c r="S3039" s="221"/>
      <c r="T3039" s="221"/>
      <c r="U3039" s="221"/>
      <c r="V3039" s="221"/>
      <c r="W3039" s="221"/>
    </row>
    <row r="3040" spans="1:23" s="33" customFormat="1" ht="15" customHeight="1" thickBot="1">
      <c r="A3040" s="2"/>
      <c r="B3040" s="2" t="s">
        <v>2318</v>
      </c>
      <c r="C3040" s="3">
        <v>75</v>
      </c>
      <c r="D3040" s="335" t="str">
        <f>+D3071</f>
        <v>*** FUND 75 REVENUES OVER(UNDER) EXPENSES ***</v>
      </c>
      <c r="E3040" s="336"/>
      <c r="F3040" s="336">
        <f>+F3071</f>
        <v>0</v>
      </c>
      <c r="G3040" s="336">
        <f>+G3071</f>
        <v>0</v>
      </c>
      <c r="H3040" s="336">
        <f t="shared" ref="H3040:N3040" si="317">+H3071</f>
        <v>0</v>
      </c>
      <c r="I3040" s="336">
        <f t="shared" si="317"/>
        <v>61778</v>
      </c>
      <c r="J3040" s="336">
        <f t="shared" si="317"/>
        <v>6384</v>
      </c>
      <c r="K3040" s="336">
        <f t="shared" si="317"/>
        <v>-15500</v>
      </c>
      <c r="L3040" s="336">
        <f t="shared" si="317"/>
        <v>20958</v>
      </c>
      <c r="M3040" s="336">
        <f t="shared" si="317"/>
        <v>7783</v>
      </c>
      <c r="N3040" s="336">
        <f t="shared" si="317"/>
        <v>-10000</v>
      </c>
      <c r="O3040" s="301"/>
      <c r="P3040" s="214">
        <v>2546</v>
      </c>
      <c r="Q3040" s="215">
        <v>75</v>
      </c>
      <c r="R3040" s="216" t="s">
        <v>2619</v>
      </c>
      <c r="S3040" s="217"/>
      <c r="T3040" s="218">
        <v>-15500</v>
      </c>
      <c r="U3040" s="218">
        <v>113</v>
      </c>
      <c r="V3040" s="219">
        <v>21071.27</v>
      </c>
      <c r="W3040" s="219">
        <v>-135.94</v>
      </c>
    </row>
    <row r="3041" spans="1:23" s="46" customFormat="1" ht="15" customHeight="1" thickTop="1">
      <c r="A3041" s="5"/>
      <c r="B3041" s="5"/>
      <c r="C3041" s="3">
        <v>75</v>
      </c>
      <c r="D3041" s="58"/>
      <c r="E3041" s="56"/>
      <c r="F3041" s="56"/>
      <c r="G3041" s="56"/>
      <c r="H3041" s="56"/>
      <c r="I3041" s="56"/>
      <c r="J3041" s="56"/>
      <c r="K3041" s="56"/>
      <c r="L3041" s="56"/>
      <c r="M3041" s="56"/>
      <c r="N3041" s="56"/>
      <c r="O3041" s="289"/>
      <c r="P3041" s="221"/>
      <c r="Q3041" s="221"/>
      <c r="R3041" s="221"/>
      <c r="S3041" s="221"/>
      <c r="T3041" s="221"/>
      <c r="U3041" s="221"/>
      <c r="V3041" s="221"/>
      <c r="W3041" s="221"/>
    </row>
    <row r="3042" spans="1:23" ht="15" customHeight="1">
      <c r="C3042" s="3">
        <v>75</v>
      </c>
      <c r="D3042" s="54" t="s">
        <v>2875</v>
      </c>
      <c r="E3042" s="54"/>
      <c r="F3042" s="192"/>
      <c r="G3042" s="55"/>
      <c r="H3042" s="55"/>
      <c r="I3042" s="55"/>
      <c r="J3042" s="55"/>
      <c r="K3042" s="55">
        <f>+K3026+K3032-K3038</f>
        <v>70500</v>
      </c>
      <c r="L3042" s="55"/>
      <c r="M3042" s="55">
        <f>+M3026+M3032-M3038</f>
        <v>93783</v>
      </c>
      <c r="N3042" s="55">
        <f>+N3026+N3032-N3038</f>
        <v>83783</v>
      </c>
      <c r="O3042" s="253"/>
      <c r="P3042" s="203"/>
      <c r="Q3042" s="204"/>
      <c r="R3042" s="205"/>
      <c r="S3042" s="206"/>
      <c r="T3042" s="207"/>
      <c r="U3042" s="207"/>
      <c r="V3042" s="208"/>
      <c r="W3042" s="212"/>
    </row>
    <row r="3043" spans="1:23" s="46" customFormat="1" ht="15" customHeight="1">
      <c r="A3043" s="195"/>
      <c r="B3043" s="195"/>
      <c r="C3043" s="3">
        <v>75</v>
      </c>
      <c r="D3043" s="58"/>
      <c r="E3043" s="56"/>
      <c r="F3043" s="56"/>
      <c r="G3043" s="56"/>
      <c r="H3043" s="56"/>
      <c r="I3043" s="56"/>
      <c r="J3043" s="56"/>
      <c r="K3043" s="56"/>
      <c r="L3043" s="56"/>
      <c r="M3043" s="26"/>
      <c r="N3043" s="26"/>
      <c r="O3043" s="289"/>
      <c r="P3043" s="221"/>
      <c r="Q3043" s="221"/>
      <c r="R3043" s="221"/>
      <c r="S3043" s="221"/>
      <c r="T3043" s="221"/>
      <c r="U3043" s="221"/>
      <c r="V3043" s="221"/>
      <c r="W3043" s="221"/>
    </row>
    <row r="3044" spans="1:23" ht="15" customHeight="1">
      <c r="C3044" s="3">
        <v>75</v>
      </c>
      <c r="D3044" s="15">
        <v>4330</v>
      </c>
      <c r="E3044" s="312" t="s">
        <v>1669</v>
      </c>
      <c r="G3044" s="26">
        <v>0</v>
      </c>
      <c r="H3044" s="26">
        <v>0</v>
      </c>
      <c r="I3044" s="26">
        <v>278</v>
      </c>
      <c r="J3044" s="26">
        <v>663</v>
      </c>
      <c r="K3044" s="26">
        <v>0</v>
      </c>
      <c r="L3044" s="26">
        <v>399</v>
      </c>
      <c r="M3044" s="26">
        <v>800</v>
      </c>
      <c r="N3044" s="26">
        <v>0</v>
      </c>
      <c r="O3044" s="285"/>
      <c r="P3044" s="214">
        <v>2547</v>
      </c>
      <c r="Q3044" s="215">
        <v>75</v>
      </c>
      <c r="R3044" s="216">
        <v>4330</v>
      </c>
      <c r="S3044" s="217" t="s">
        <v>1669</v>
      </c>
      <c r="T3044" s="218">
        <v>0</v>
      </c>
      <c r="U3044" s="218">
        <v>93</v>
      </c>
      <c r="V3044" s="219">
        <v>491.91</v>
      </c>
      <c r="W3044" s="219">
        <v>0</v>
      </c>
    </row>
    <row r="3045" spans="1:23" ht="15" customHeight="1">
      <c r="C3045" s="3">
        <v>75</v>
      </c>
      <c r="D3045" s="15">
        <v>4690</v>
      </c>
      <c r="E3045" s="312" t="s">
        <v>63</v>
      </c>
      <c r="G3045" s="26">
        <v>0</v>
      </c>
      <c r="H3045" s="26">
        <v>0</v>
      </c>
      <c r="I3045" s="26">
        <v>0</v>
      </c>
      <c r="J3045" s="26">
        <v>5721</v>
      </c>
      <c r="K3045" s="26">
        <v>0</v>
      </c>
      <c r="L3045" s="26">
        <v>21263</v>
      </c>
      <c r="M3045" s="26">
        <v>21463</v>
      </c>
      <c r="N3045" s="26">
        <v>0</v>
      </c>
      <c r="O3045" s="285"/>
      <c r="P3045" s="214">
        <v>2548</v>
      </c>
      <c r="Q3045" s="215">
        <v>75</v>
      </c>
      <c r="R3045" s="216">
        <v>4690</v>
      </c>
      <c r="S3045" s="217" t="s">
        <v>63</v>
      </c>
      <c r="T3045" s="218">
        <v>0</v>
      </c>
      <c r="U3045" s="218">
        <v>0</v>
      </c>
      <c r="V3045" s="219">
        <v>21263</v>
      </c>
      <c r="W3045" s="219">
        <v>0</v>
      </c>
    </row>
    <row r="3046" spans="1:23" ht="15" customHeight="1">
      <c r="C3046" s="3">
        <v>75</v>
      </c>
      <c r="D3046" s="15">
        <v>4691</v>
      </c>
      <c r="E3046" s="312" t="s">
        <v>2533</v>
      </c>
      <c r="G3046" s="26">
        <v>0</v>
      </c>
      <c r="H3046" s="26">
        <v>0</v>
      </c>
      <c r="I3046" s="26">
        <v>0</v>
      </c>
      <c r="J3046" s="26">
        <v>0</v>
      </c>
      <c r="K3046" s="26">
        <v>0</v>
      </c>
      <c r="L3046" s="26">
        <v>1000</v>
      </c>
      <c r="M3046" s="26">
        <v>1020</v>
      </c>
      <c r="N3046" s="26">
        <v>0</v>
      </c>
      <c r="O3046" s="285"/>
      <c r="P3046" s="214">
        <v>2549</v>
      </c>
      <c r="Q3046" s="215">
        <v>75</v>
      </c>
      <c r="R3046" s="216">
        <v>4691</v>
      </c>
      <c r="S3046" s="217" t="s">
        <v>2533</v>
      </c>
      <c r="T3046" s="218">
        <v>0</v>
      </c>
      <c r="U3046" s="218">
        <v>20</v>
      </c>
      <c r="V3046" s="219">
        <v>1020</v>
      </c>
      <c r="W3046" s="219">
        <v>0</v>
      </c>
    </row>
    <row r="3047" spans="1:23" ht="15" customHeight="1">
      <c r="C3047" s="3">
        <v>75</v>
      </c>
      <c r="D3047" s="15" t="s">
        <v>2871</v>
      </c>
      <c r="E3047" s="312" t="s">
        <v>2879</v>
      </c>
      <c r="G3047" s="26">
        <v>0</v>
      </c>
      <c r="H3047" s="26">
        <v>0</v>
      </c>
      <c r="I3047" s="26">
        <v>0</v>
      </c>
      <c r="J3047" s="26">
        <v>0</v>
      </c>
      <c r="K3047" s="26">
        <v>0</v>
      </c>
      <c r="L3047" s="26">
        <v>0</v>
      </c>
      <c r="M3047" s="26">
        <v>0</v>
      </c>
      <c r="N3047" s="26">
        <v>0</v>
      </c>
      <c r="O3047" s="285"/>
      <c r="P3047" s="214"/>
      <c r="Q3047" s="215"/>
      <c r="R3047" s="216"/>
      <c r="S3047" s="217"/>
      <c r="T3047" s="218"/>
      <c r="U3047" s="218"/>
      <c r="V3047" s="219"/>
      <c r="W3047" s="219"/>
    </row>
    <row r="3048" spans="1:23" ht="15" customHeight="1">
      <c r="C3048" s="3">
        <v>75</v>
      </c>
      <c r="D3048" s="15" t="s">
        <v>2872</v>
      </c>
      <c r="E3048" s="312" t="s">
        <v>2880</v>
      </c>
      <c r="G3048" s="26">
        <v>0</v>
      </c>
      <c r="H3048" s="26">
        <v>0</v>
      </c>
      <c r="I3048" s="26">
        <v>0</v>
      </c>
      <c r="J3048" s="26">
        <v>0</v>
      </c>
      <c r="K3048" s="26">
        <v>0</v>
      </c>
      <c r="L3048" s="26">
        <v>0</v>
      </c>
      <c r="M3048" s="26">
        <v>0</v>
      </c>
      <c r="N3048" s="26">
        <v>0</v>
      </c>
      <c r="O3048" s="285"/>
      <c r="P3048" s="214"/>
      <c r="Q3048" s="215"/>
      <c r="R3048" s="216"/>
      <c r="S3048" s="217"/>
      <c r="T3048" s="218"/>
      <c r="U3048" s="218"/>
      <c r="V3048" s="219"/>
      <c r="W3048" s="219"/>
    </row>
    <row r="3049" spans="1:23" ht="15" customHeight="1">
      <c r="C3049" s="3">
        <v>75</v>
      </c>
      <c r="D3049" s="15">
        <v>4695</v>
      </c>
      <c r="E3049" s="312" t="s">
        <v>1681</v>
      </c>
      <c r="G3049" s="26">
        <v>0</v>
      </c>
      <c r="H3049" s="26">
        <v>0</v>
      </c>
      <c r="I3049" s="26">
        <v>61500</v>
      </c>
      <c r="J3049" s="26">
        <v>0</v>
      </c>
      <c r="K3049" s="26">
        <v>0</v>
      </c>
      <c r="L3049" s="26">
        <v>0</v>
      </c>
      <c r="M3049" s="26">
        <v>0</v>
      </c>
      <c r="N3049" s="26">
        <v>0</v>
      </c>
      <c r="O3049" s="285"/>
      <c r="P3049" s="214">
        <v>2550</v>
      </c>
      <c r="Q3049" s="215">
        <v>75</v>
      </c>
      <c r="R3049" s="216">
        <v>4695</v>
      </c>
      <c r="S3049" s="217" t="s">
        <v>1681</v>
      </c>
      <c r="T3049" s="218">
        <v>0</v>
      </c>
      <c r="U3049" s="218">
        <v>0</v>
      </c>
      <c r="V3049" s="219">
        <v>0</v>
      </c>
      <c r="W3049" s="219">
        <v>0</v>
      </c>
    </row>
    <row r="3050" spans="1:23" ht="15" customHeight="1">
      <c r="C3050" s="3">
        <v>75</v>
      </c>
      <c r="E3050" s="14"/>
      <c r="G3050" s="26"/>
      <c r="H3050" s="26"/>
      <c r="I3050" s="26"/>
      <c r="J3050" s="26"/>
      <c r="K3050" s="26"/>
      <c r="L3050" s="26"/>
      <c r="M3050" s="26"/>
      <c r="N3050" s="26"/>
      <c r="P3050" s="222"/>
      <c r="Q3050" s="222"/>
      <c r="R3050" s="222"/>
      <c r="S3050" s="223"/>
      <c r="T3050" s="223"/>
      <c r="U3050" s="223"/>
      <c r="V3050" s="224"/>
      <c r="W3050" s="224"/>
    </row>
    <row r="3051" spans="1:23" s="27" customFormat="1" ht="15" customHeight="1" thickBot="1">
      <c r="A3051" s="2"/>
      <c r="B3051" s="2" t="s">
        <v>2317</v>
      </c>
      <c r="C3051" s="3">
        <v>75</v>
      </c>
      <c r="D3051" s="68" t="s">
        <v>2302</v>
      </c>
      <c r="E3051" s="68"/>
      <c r="F3051" s="320"/>
      <c r="G3051" s="69">
        <f>SUM(G3043:G3050)</f>
        <v>0</v>
      </c>
      <c r="H3051" s="69">
        <f t="shared" ref="H3051:N3051" si="318">SUM(H3043:H3050)</f>
        <v>0</v>
      </c>
      <c r="I3051" s="69">
        <f t="shared" si="318"/>
        <v>61778</v>
      </c>
      <c r="J3051" s="69">
        <f t="shared" si="318"/>
        <v>6384</v>
      </c>
      <c r="K3051" s="69">
        <f t="shared" si="318"/>
        <v>0</v>
      </c>
      <c r="L3051" s="69">
        <f t="shared" si="318"/>
        <v>22662</v>
      </c>
      <c r="M3051" s="69">
        <f t="shared" si="318"/>
        <v>23283</v>
      </c>
      <c r="N3051" s="69">
        <f t="shared" si="318"/>
        <v>0</v>
      </c>
      <c r="O3051" s="281"/>
      <c r="P3051" s="214">
        <v>2551</v>
      </c>
      <c r="Q3051" s="215">
        <v>75</v>
      </c>
      <c r="R3051" s="216" t="s">
        <v>2620</v>
      </c>
      <c r="S3051" s="217"/>
      <c r="T3051" s="218">
        <v>0</v>
      </c>
      <c r="U3051" s="218">
        <v>113</v>
      </c>
      <c r="V3051" s="219">
        <v>22774.91</v>
      </c>
      <c r="W3051" s="219">
        <v>0</v>
      </c>
    </row>
    <row r="3052" spans="1:23" s="46" customFormat="1" ht="15" customHeight="1" thickTop="1">
      <c r="A3052" s="5"/>
      <c r="B3052" s="5"/>
      <c r="C3052" s="3">
        <v>75</v>
      </c>
      <c r="D3052" s="47"/>
      <c r="E3052" s="47"/>
      <c r="F3052" s="191"/>
      <c r="G3052" s="56"/>
      <c r="H3052" s="56"/>
      <c r="I3052" s="56"/>
      <c r="J3052" s="56"/>
      <c r="K3052" s="56"/>
      <c r="L3052" s="56"/>
      <c r="M3052" s="56"/>
      <c r="N3052" s="56"/>
      <c r="O3052" s="289"/>
      <c r="P3052" s="221"/>
      <c r="Q3052" s="221"/>
      <c r="R3052" s="221"/>
      <c r="S3052" s="221"/>
      <c r="T3052" s="221"/>
      <c r="U3052" s="221"/>
      <c r="V3052" s="221"/>
      <c r="W3052" s="221"/>
    </row>
    <row r="3053" spans="1:23" ht="15" customHeight="1">
      <c r="C3053" s="3">
        <v>75</v>
      </c>
      <c r="D3053" s="15" t="s">
        <v>2528</v>
      </c>
      <c r="G3053" s="26"/>
      <c r="H3053" s="26"/>
      <c r="I3053" s="26"/>
      <c r="J3053" s="26"/>
      <c r="K3053" s="26"/>
      <c r="L3053" s="26"/>
      <c r="M3053" s="26"/>
      <c r="N3053" s="26"/>
      <c r="P3053" s="214">
        <v>2552</v>
      </c>
      <c r="Q3053" s="215">
        <v>75</v>
      </c>
      <c r="R3053" s="216" t="s">
        <v>135</v>
      </c>
      <c r="S3053" s="217"/>
      <c r="T3053" s="218"/>
      <c r="U3053" s="218"/>
      <c r="V3053" s="219"/>
      <c r="W3053" s="219"/>
    </row>
    <row r="3054" spans="1:23" ht="15" customHeight="1">
      <c r="C3054" s="3">
        <v>75</v>
      </c>
      <c r="D3054" s="14"/>
      <c r="E3054" s="312"/>
      <c r="G3054" s="26"/>
      <c r="H3054" s="26"/>
      <c r="I3054" s="26"/>
      <c r="J3054" s="26"/>
      <c r="K3054" s="26"/>
      <c r="L3054" s="26"/>
      <c r="M3054" s="26"/>
      <c r="N3054" s="26"/>
      <c r="P3054" s="214">
        <v>2553</v>
      </c>
      <c r="Q3054" s="215">
        <v>75</v>
      </c>
      <c r="R3054" s="216" t="s">
        <v>2626</v>
      </c>
      <c r="S3054" s="217"/>
      <c r="T3054" s="218"/>
      <c r="U3054" s="218"/>
      <c r="V3054" s="219"/>
      <c r="W3054" s="219"/>
    </row>
    <row r="3055" spans="1:23" ht="15" customHeight="1">
      <c r="C3055" s="3">
        <v>75</v>
      </c>
      <c r="D3055" s="14" t="s">
        <v>2534</v>
      </c>
      <c r="E3055" s="312" t="s">
        <v>139</v>
      </c>
      <c r="G3055" s="26">
        <v>0</v>
      </c>
      <c r="H3055" s="26">
        <v>0</v>
      </c>
      <c r="I3055" s="26">
        <v>0</v>
      </c>
      <c r="J3055" s="26">
        <v>0</v>
      </c>
      <c r="K3055" s="26">
        <v>0</v>
      </c>
      <c r="L3055" s="26">
        <v>1704</v>
      </c>
      <c r="M3055" s="26">
        <v>1704</v>
      </c>
      <c r="N3055" s="26">
        <v>0</v>
      </c>
      <c r="O3055" s="285"/>
      <c r="P3055" s="214">
        <v>2554</v>
      </c>
      <c r="Q3055" s="215">
        <v>75</v>
      </c>
      <c r="R3055" s="216" t="s">
        <v>2534</v>
      </c>
      <c r="S3055" s="217" t="s">
        <v>139</v>
      </c>
      <c r="T3055" s="218">
        <v>0</v>
      </c>
      <c r="U3055" s="218">
        <v>0</v>
      </c>
      <c r="V3055" s="219">
        <v>1703.64</v>
      </c>
      <c r="W3055" s="219">
        <v>0</v>
      </c>
    </row>
    <row r="3056" spans="1:23" ht="15" customHeight="1">
      <c r="C3056" s="3">
        <v>75</v>
      </c>
      <c r="D3056" s="14" t="s">
        <v>2877</v>
      </c>
      <c r="E3056" s="312" t="s">
        <v>2873</v>
      </c>
      <c r="G3056" s="26">
        <v>0</v>
      </c>
      <c r="H3056" s="26">
        <v>0</v>
      </c>
      <c r="I3056" s="26">
        <v>0</v>
      </c>
      <c r="J3056" s="26">
        <v>0</v>
      </c>
      <c r="K3056" s="26">
        <v>0</v>
      </c>
      <c r="L3056" s="26">
        <v>0</v>
      </c>
      <c r="M3056" s="26">
        <v>0</v>
      </c>
      <c r="N3056" s="26">
        <v>0</v>
      </c>
      <c r="O3056" s="285"/>
      <c r="P3056" s="214">
        <v>2554</v>
      </c>
      <c r="Q3056" s="215">
        <v>75</v>
      </c>
      <c r="R3056" s="216" t="s">
        <v>2534</v>
      </c>
      <c r="S3056" s="217" t="s">
        <v>139</v>
      </c>
      <c r="T3056" s="218">
        <v>0</v>
      </c>
      <c r="U3056" s="218">
        <v>0</v>
      </c>
      <c r="V3056" s="219">
        <v>1703.64</v>
      </c>
      <c r="W3056" s="219">
        <v>0</v>
      </c>
    </row>
    <row r="3057" spans="1:23" ht="15" customHeight="1">
      <c r="C3057" s="3">
        <v>75</v>
      </c>
      <c r="D3057" s="14" t="s">
        <v>2878</v>
      </c>
      <c r="E3057" s="312" t="s">
        <v>2906</v>
      </c>
      <c r="G3057" s="26">
        <v>0</v>
      </c>
      <c r="H3057" s="26">
        <v>0</v>
      </c>
      <c r="I3057" s="26">
        <v>0</v>
      </c>
      <c r="J3057" s="26">
        <v>0</v>
      </c>
      <c r="K3057" s="26">
        <v>0</v>
      </c>
      <c r="L3057" s="26">
        <v>0</v>
      </c>
      <c r="M3057" s="26">
        <v>0</v>
      </c>
      <c r="N3057" s="26">
        <v>0</v>
      </c>
      <c r="O3057" s="285"/>
      <c r="P3057" s="214">
        <v>2554</v>
      </c>
      <c r="Q3057" s="215">
        <v>75</v>
      </c>
      <c r="R3057" s="216" t="s">
        <v>2534</v>
      </c>
      <c r="S3057" s="217" t="s">
        <v>139</v>
      </c>
      <c r="T3057" s="218">
        <v>0</v>
      </c>
      <c r="U3057" s="218">
        <v>0</v>
      </c>
      <c r="V3057" s="219">
        <v>1703.64</v>
      </c>
      <c r="W3057" s="219">
        <v>0</v>
      </c>
    </row>
    <row r="3058" spans="1:23" ht="15" customHeight="1">
      <c r="C3058" s="3">
        <v>75</v>
      </c>
      <c r="G3058" s="26"/>
      <c r="H3058" s="26"/>
      <c r="I3058" s="26"/>
      <c r="J3058" s="26"/>
      <c r="K3058" s="26"/>
      <c r="L3058" s="26"/>
      <c r="M3058" s="26"/>
      <c r="N3058" s="26"/>
      <c r="P3058" s="214">
        <v>2555</v>
      </c>
      <c r="Q3058" s="215">
        <v>75</v>
      </c>
      <c r="R3058" s="216" t="s">
        <v>2623</v>
      </c>
      <c r="S3058" s="217"/>
      <c r="T3058" s="218"/>
      <c r="U3058" s="218"/>
      <c r="V3058" s="219"/>
      <c r="W3058" s="219"/>
    </row>
    <row r="3059" spans="1:23" s="64" customFormat="1" ht="15" customHeight="1">
      <c r="A3059" s="64" t="s">
        <v>2411</v>
      </c>
      <c r="B3059" s="64" t="s">
        <v>2317</v>
      </c>
      <c r="C3059" s="3">
        <v>75</v>
      </c>
      <c r="D3059" s="323" t="s">
        <v>2414</v>
      </c>
      <c r="E3059" s="323"/>
      <c r="F3059" s="324"/>
      <c r="G3059" s="325">
        <f>SUM(G3053:G3058)</f>
        <v>0</v>
      </c>
      <c r="H3059" s="325">
        <f t="shared" ref="H3059:N3059" si="319">SUM(H3053:H3058)</f>
        <v>0</v>
      </c>
      <c r="I3059" s="325">
        <f t="shared" si="319"/>
        <v>0</v>
      </c>
      <c r="J3059" s="325">
        <f t="shared" si="319"/>
        <v>0</v>
      </c>
      <c r="K3059" s="325">
        <f t="shared" si="319"/>
        <v>0</v>
      </c>
      <c r="L3059" s="325">
        <f t="shared" si="319"/>
        <v>1704</v>
      </c>
      <c r="M3059" s="325">
        <f t="shared" si="319"/>
        <v>1704</v>
      </c>
      <c r="N3059" s="325">
        <f t="shared" si="319"/>
        <v>0</v>
      </c>
      <c r="O3059" s="308"/>
      <c r="P3059" s="214">
        <v>2556</v>
      </c>
      <c r="Q3059" s="215">
        <v>75</v>
      </c>
      <c r="R3059" s="216" t="s">
        <v>135</v>
      </c>
      <c r="S3059" s="217"/>
      <c r="T3059" s="218">
        <v>0</v>
      </c>
      <c r="U3059" s="218">
        <v>0</v>
      </c>
      <c r="V3059" s="219">
        <v>1703.64</v>
      </c>
      <c r="W3059" s="219">
        <v>0</v>
      </c>
    </row>
    <row r="3060" spans="1:23" s="46" customFormat="1" ht="15" customHeight="1">
      <c r="C3060" s="3">
        <v>75</v>
      </c>
      <c r="D3060" s="47"/>
      <c r="E3060" s="47"/>
      <c r="F3060" s="191"/>
      <c r="G3060" s="48"/>
      <c r="H3060" s="48"/>
      <c r="I3060" s="48"/>
      <c r="J3060" s="48"/>
      <c r="K3060" s="48"/>
      <c r="L3060" s="48"/>
      <c r="M3060" s="48"/>
      <c r="N3060" s="48"/>
      <c r="O3060" s="289"/>
      <c r="P3060" s="221"/>
      <c r="Q3060" s="221"/>
      <c r="R3060" s="221"/>
      <c r="S3060" s="221"/>
      <c r="T3060" s="221"/>
      <c r="U3060" s="221"/>
      <c r="V3060" s="221"/>
      <c r="W3060" s="221"/>
    </row>
    <row r="3061" spans="1:23" ht="15" customHeight="1">
      <c r="C3061" s="3">
        <v>75</v>
      </c>
      <c r="D3061" s="15" t="s">
        <v>2414</v>
      </c>
      <c r="G3061" s="26"/>
      <c r="H3061" s="26"/>
      <c r="I3061" s="26"/>
      <c r="J3061" s="26"/>
      <c r="K3061" s="26"/>
      <c r="L3061" s="26"/>
      <c r="M3061" s="26"/>
      <c r="N3061" s="26"/>
      <c r="P3061" s="214">
        <v>2557</v>
      </c>
      <c r="Q3061" s="215">
        <v>75</v>
      </c>
      <c r="R3061" s="216" t="s">
        <v>2633</v>
      </c>
      <c r="S3061" s="217"/>
      <c r="T3061" s="218"/>
      <c r="U3061" s="218"/>
      <c r="V3061" s="219"/>
      <c r="W3061" s="219"/>
    </row>
    <row r="3062" spans="1:23" ht="15" customHeight="1">
      <c r="C3062" s="3">
        <v>75</v>
      </c>
      <c r="G3062" s="26"/>
      <c r="H3062" s="26"/>
      <c r="I3062" s="26"/>
      <c r="J3062" s="26"/>
      <c r="K3062" s="26"/>
      <c r="L3062" s="26"/>
      <c r="M3062" s="26"/>
      <c r="N3062" s="26"/>
      <c r="P3062" s="214">
        <v>2558</v>
      </c>
      <c r="Q3062" s="215">
        <v>75</v>
      </c>
      <c r="R3062" s="216" t="s">
        <v>2634</v>
      </c>
      <c r="S3062" s="217"/>
      <c r="T3062" s="218"/>
      <c r="U3062" s="218"/>
      <c r="V3062" s="219"/>
      <c r="W3062" s="219"/>
    </row>
    <row r="3063" spans="1:23" ht="15" customHeight="1">
      <c r="C3063" s="3">
        <v>75</v>
      </c>
      <c r="D3063" s="15" t="s">
        <v>1904</v>
      </c>
      <c r="E3063" s="312" t="s">
        <v>1905</v>
      </c>
      <c r="G3063" s="26">
        <v>0</v>
      </c>
      <c r="H3063" s="26">
        <v>0</v>
      </c>
      <c r="I3063" s="26">
        <v>0</v>
      </c>
      <c r="J3063" s="26">
        <v>0</v>
      </c>
      <c r="K3063" s="26">
        <v>15500</v>
      </c>
      <c r="L3063" s="26">
        <v>0</v>
      </c>
      <c r="M3063" s="26">
        <f>+M94</f>
        <v>15500</v>
      </c>
      <c r="N3063" s="26">
        <f>+N94</f>
        <v>10000</v>
      </c>
      <c r="O3063" s="285" t="s">
        <v>3052</v>
      </c>
      <c r="P3063" s="214">
        <v>2559</v>
      </c>
      <c r="Q3063" s="215">
        <v>75</v>
      </c>
      <c r="R3063" s="216" t="s">
        <v>1904</v>
      </c>
      <c r="S3063" s="217" t="s">
        <v>1905</v>
      </c>
      <c r="T3063" s="218">
        <v>15500</v>
      </c>
      <c r="U3063" s="218">
        <v>0</v>
      </c>
      <c r="V3063" s="219">
        <v>0</v>
      </c>
      <c r="W3063" s="219">
        <v>0</v>
      </c>
    </row>
    <row r="3064" spans="1:23" ht="15" customHeight="1">
      <c r="C3064" s="3">
        <v>75</v>
      </c>
      <c r="G3064" s="26"/>
      <c r="H3064" s="26"/>
      <c r="I3064" s="26"/>
      <c r="J3064" s="26"/>
      <c r="K3064" s="26"/>
      <c r="L3064" s="26"/>
      <c r="M3064" s="26"/>
      <c r="N3064" s="26"/>
      <c r="P3064" s="214">
        <v>2560</v>
      </c>
      <c r="Q3064" s="215">
        <v>75</v>
      </c>
      <c r="R3064" s="216" t="s">
        <v>2623</v>
      </c>
      <c r="S3064" s="217"/>
      <c r="T3064" s="218"/>
      <c r="U3064" s="218"/>
      <c r="V3064" s="219"/>
      <c r="W3064" s="219"/>
    </row>
    <row r="3065" spans="1:23" s="64" customFormat="1" ht="15" customHeight="1">
      <c r="A3065" s="64" t="s">
        <v>2411</v>
      </c>
      <c r="B3065" s="64" t="s">
        <v>2317</v>
      </c>
      <c r="C3065" s="3">
        <v>75</v>
      </c>
      <c r="D3065" s="323" t="s">
        <v>2414</v>
      </c>
      <c r="E3065" s="323"/>
      <c r="F3065" s="324"/>
      <c r="G3065" s="325">
        <f>SUM(G3061:G3064)</f>
        <v>0</v>
      </c>
      <c r="H3065" s="325">
        <f t="shared" ref="H3065:N3065" si="320">SUM(H3061:H3064)</f>
        <v>0</v>
      </c>
      <c r="I3065" s="325">
        <f t="shared" si="320"/>
        <v>0</v>
      </c>
      <c r="J3065" s="325">
        <f t="shared" si="320"/>
        <v>0</v>
      </c>
      <c r="K3065" s="325">
        <f t="shared" si="320"/>
        <v>15500</v>
      </c>
      <c r="L3065" s="325">
        <f t="shared" si="320"/>
        <v>0</v>
      </c>
      <c r="M3065" s="325">
        <f t="shared" si="320"/>
        <v>15500</v>
      </c>
      <c r="N3065" s="325">
        <f t="shared" si="320"/>
        <v>10000</v>
      </c>
      <c r="O3065" s="308"/>
      <c r="P3065" s="214">
        <v>2561</v>
      </c>
      <c r="Q3065" s="215">
        <v>75</v>
      </c>
      <c r="R3065" s="216" t="s">
        <v>2633</v>
      </c>
      <c r="S3065" s="217"/>
      <c r="T3065" s="218">
        <v>15500</v>
      </c>
      <c r="U3065" s="218">
        <v>0</v>
      </c>
      <c r="V3065" s="219">
        <v>0</v>
      </c>
      <c r="W3065" s="219">
        <v>0</v>
      </c>
    </row>
    <row r="3066" spans="1:23" ht="15" customHeight="1">
      <c r="C3066" s="3">
        <v>75</v>
      </c>
      <c r="G3066" s="26"/>
      <c r="H3066" s="26"/>
      <c r="I3066" s="26"/>
      <c r="J3066" s="26"/>
      <c r="K3066" s="26"/>
      <c r="L3066" s="26"/>
      <c r="M3066" s="26"/>
      <c r="N3066" s="26"/>
      <c r="P3066" s="214">
        <v>2562</v>
      </c>
      <c r="Q3066" s="215">
        <v>75</v>
      </c>
      <c r="R3066" s="216" t="s">
        <v>2623</v>
      </c>
      <c r="S3066" s="217"/>
      <c r="T3066" s="218"/>
      <c r="U3066" s="218"/>
      <c r="V3066" s="219"/>
      <c r="W3066" s="219"/>
    </row>
    <row r="3067" spans="1:23" ht="15" customHeight="1">
      <c r="B3067" s="2" t="s">
        <v>2317</v>
      </c>
      <c r="C3067" s="3">
        <v>75</v>
      </c>
      <c r="D3067" s="47" t="s">
        <v>1667</v>
      </c>
      <c r="G3067" s="26">
        <f t="shared" ref="G3067:L3067" si="321">+G3065+G3059</f>
        <v>0</v>
      </c>
      <c r="H3067" s="26">
        <f t="shared" si="321"/>
        <v>0</v>
      </c>
      <c r="I3067" s="26">
        <f t="shared" si="321"/>
        <v>0</v>
      </c>
      <c r="J3067" s="26">
        <f t="shared" si="321"/>
        <v>0</v>
      </c>
      <c r="K3067" s="26">
        <f t="shared" si="321"/>
        <v>15500</v>
      </c>
      <c r="L3067" s="26">
        <f t="shared" si="321"/>
        <v>1704</v>
      </c>
      <c r="M3067" s="26">
        <f>SUM(M3065:M3066)</f>
        <v>15500</v>
      </c>
      <c r="N3067" s="26">
        <f>SUM(N3065:N3066)</f>
        <v>10000</v>
      </c>
      <c r="P3067" s="214">
        <v>2563</v>
      </c>
      <c r="Q3067" s="215">
        <v>75</v>
      </c>
      <c r="R3067" s="216" t="s">
        <v>1667</v>
      </c>
      <c r="S3067" s="217"/>
      <c r="T3067" s="218">
        <v>15500</v>
      </c>
      <c r="U3067" s="218">
        <v>0</v>
      </c>
      <c r="V3067" s="219">
        <v>1703.64</v>
      </c>
      <c r="W3067" s="219">
        <v>10.99</v>
      </c>
    </row>
    <row r="3068" spans="1:23" ht="15" customHeight="1">
      <c r="C3068" s="3">
        <v>75</v>
      </c>
      <c r="D3068" s="47"/>
      <c r="G3068" s="26"/>
      <c r="H3068" s="26"/>
      <c r="I3068" s="26"/>
      <c r="J3068" s="26"/>
      <c r="K3068" s="26"/>
      <c r="L3068" s="26"/>
      <c r="M3068" s="26"/>
      <c r="N3068" s="26"/>
      <c r="P3068" s="222"/>
      <c r="Q3068" s="222"/>
      <c r="R3068" s="222"/>
      <c r="S3068" s="223"/>
      <c r="T3068" s="223"/>
      <c r="U3068" s="223"/>
      <c r="V3068" s="224"/>
      <c r="W3068" s="224"/>
    </row>
    <row r="3069" spans="1:23" s="31" customFormat="1" ht="15" customHeight="1">
      <c r="A3069" s="2"/>
      <c r="B3069" s="2" t="s">
        <v>2317</v>
      </c>
      <c r="C3069" s="3">
        <v>75</v>
      </c>
      <c r="D3069" s="54" t="s">
        <v>2279</v>
      </c>
      <c r="E3069" s="54"/>
      <c r="F3069" s="192"/>
      <c r="G3069" s="339">
        <f>SUM(G3067:G3068)</f>
        <v>0</v>
      </c>
      <c r="H3069" s="339">
        <f t="shared" ref="H3069:N3069" si="322">SUM(H3067:H3068)</f>
        <v>0</v>
      </c>
      <c r="I3069" s="339">
        <f t="shared" si="322"/>
        <v>0</v>
      </c>
      <c r="J3069" s="339">
        <f t="shared" si="322"/>
        <v>0</v>
      </c>
      <c r="K3069" s="339">
        <f t="shared" si="322"/>
        <v>15500</v>
      </c>
      <c r="L3069" s="339">
        <f t="shared" si="322"/>
        <v>1704</v>
      </c>
      <c r="M3069" s="339">
        <f t="shared" si="322"/>
        <v>15500</v>
      </c>
      <c r="N3069" s="339">
        <f t="shared" si="322"/>
        <v>10000</v>
      </c>
      <c r="O3069" s="305"/>
      <c r="P3069" s="214">
        <v>2564</v>
      </c>
      <c r="Q3069" s="215">
        <v>75</v>
      </c>
      <c r="R3069" s="216" t="s">
        <v>2618</v>
      </c>
      <c r="S3069" s="217"/>
      <c r="T3069" s="218">
        <v>15500</v>
      </c>
      <c r="U3069" s="218">
        <v>0</v>
      </c>
      <c r="V3069" s="219">
        <v>1703.64</v>
      </c>
      <c r="W3069" s="219">
        <v>10.99</v>
      </c>
    </row>
    <row r="3070" spans="1:23" s="46" customFormat="1" ht="15" customHeight="1">
      <c r="A3070" s="5"/>
      <c r="B3070" s="5"/>
      <c r="C3070" s="3">
        <v>75</v>
      </c>
      <c r="D3070" s="47"/>
      <c r="E3070" s="47"/>
      <c r="F3070" s="191"/>
      <c r="G3070" s="56"/>
      <c r="H3070" s="56"/>
      <c r="I3070" s="56"/>
      <c r="J3070" s="56"/>
      <c r="K3070" s="56"/>
      <c r="L3070" s="56"/>
      <c r="M3070" s="56"/>
      <c r="N3070" s="56"/>
      <c r="O3070" s="289"/>
      <c r="P3070" s="221"/>
      <c r="Q3070" s="221"/>
      <c r="R3070" s="221"/>
      <c r="S3070" s="221"/>
      <c r="T3070" s="221"/>
      <c r="U3070" s="221"/>
      <c r="V3070" s="221"/>
      <c r="W3070" s="221"/>
    </row>
    <row r="3071" spans="1:23" s="33" customFormat="1" ht="15" customHeight="1" thickBot="1">
      <c r="A3071" s="2"/>
      <c r="B3071" s="2" t="s">
        <v>2317</v>
      </c>
      <c r="C3071" s="3">
        <v>75</v>
      </c>
      <c r="D3071" s="329" t="s">
        <v>2254</v>
      </c>
      <c r="E3071" s="329"/>
      <c r="F3071" s="330"/>
      <c r="G3071" s="336">
        <f>+G3051-G3069</f>
        <v>0</v>
      </c>
      <c r="H3071" s="336">
        <f t="shared" ref="H3071:N3071" si="323">+H3051-H3069</f>
        <v>0</v>
      </c>
      <c r="I3071" s="336">
        <f t="shared" si="323"/>
        <v>61778</v>
      </c>
      <c r="J3071" s="336">
        <f t="shared" si="323"/>
        <v>6384</v>
      </c>
      <c r="K3071" s="336">
        <f t="shared" si="323"/>
        <v>-15500</v>
      </c>
      <c r="L3071" s="336">
        <f t="shared" si="323"/>
        <v>20958</v>
      </c>
      <c r="M3071" s="336">
        <f t="shared" si="323"/>
        <v>7783</v>
      </c>
      <c r="N3071" s="336">
        <f t="shared" si="323"/>
        <v>-10000</v>
      </c>
      <c r="O3071" s="301"/>
      <c r="P3071" s="214">
        <v>2565</v>
      </c>
      <c r="Q3071" s="215">
        <v>75</v>
      </c>
      <c r="R3071" s="216" t="s">
        <v>2619</v>
      </c>
      <c r="S3071" s="217"/>
      <c r="T3071" s="218">
        <v>-15500</v>
      </c>
      <c r="U3071" s="218">
        <v>113</v>
      </c>
      <c r="V3071" s="219">
        <v>21071.27</v>
      </c>
      <c r="W3071" s="219">
        <v>0</v>
      </c>
    </row>
    <row r="3072" spans="1:23" s="46" customFormat="1" ht="15" customHeight="1" thickTop="1">
      <c r="A3072" s="5"/>
      <c r="B3072" s="5"/>
      <c r="C3072" s="3">
        <v>75</v>
      </c>
      <c r="D3072" s="47"/>
      <c r="E3072" s="47"/>
      <c r="F3072" s="191"/>
      <c r="G3072" s="56"/>
      <c r="H3072" s="56"/>
      <c r="I3072" s="56"/>
      <c r="J3072" s="56"/>
      <c r="K3072" s="56"/>
      <c r="L3072" s="56"/>
      <c r="M3072" s="56"/>
      <c r="N3072" s="56"/>
      <c r="O3072" s="289"/>
      <c r="P3072" s="221"/>
      <c r="Q3072" s="221"/>
      <c r="R3072" s="221"/>
      <c r="S3072" s="221"/>
      <c r="T3072" s="221"/>
      <c r="U3072" s="221"/>
      <c r="V3072" s="221"/>
      <c r="W3072" s="221"/>
    </row>
    <row r="3073" spans="1:23" ht="15" customHeight="1">
      <c r="C3073" s="3">
        <v>75</v>
      </c>
      <c r="D3073" s="54" t="s">
        <v>2875</v>
      </c>
      <c r="E3073" s="54"/>
      <c r="F3073" s="192"/>
      <c r="G3073" s="55"/>
      <c r="H3073" s="55"/>
      <c r="I3073" s="55"/>
      <c r="J3073" s="55"/>
      <c r="K3073" s="55">
        <f>+K3042</f>
        <v>70500</v>
      </c>
      <c r="L3073" s="55"/>
      <c r="M3073" s="55">
        <f>+M3042</f>
        <v>93783</v>
      </c>
      <c r="N3073" s="55">
        <f>+N3042</f>
        <v>83783</v>
      </c>
      <c r="O3073" s="253"/>
      <c r="P3073" s="203"/>
      <c r="Q3073" s="204"/>
      <c r="R3073" s="205"/>
      <c r="S3073" s="206"/>
      <c r="T3073" s="207"/>
      <c r="U3073" s="207"/>
      <c r="V3073" s="208"/>
      <c r="W3073" s="212"/>
    </row>
    <row r="3074" spans="1:23" s="46" customFormat="1" ht="15" customHeight="1">
      <c r="A3074" s="195"/>
      <c r="B3074" s="195"/>
      <c r="C3074" s="3">
        <v>75</v>
      </c>
      <c r="D3074" s="47"/>
      <c r="E3074" s="47"/>
      <c r="F3074" s="191"/>
      <c r="G3074" s="56"/>
      <c r="H3074" s="56"/>
      <c r="I3074" s="56"/>
      <c r="J3074" s="56"/>
      <c r="K3074" s="56"/>
      <c r="L3074" s="56"/>
      <c r="M3074" s="56"/>
      <c r="N3074" s="56"/>
      <c r="O3074" s="289"/>
      <c r="P3074" s="221"/>
      <c r="Q3074" s="221"/>
      <c r="R3074" s="221"/>
      <c r="S3074" s="221"/>
      <c r="T3074" s="221"/>
      <c r="U3074" s="221"/>
      <c r="V3074" s="221"/>
      <c r="W3074" s="221"/>
    </row>
    <row r="3075" spans="1:23" s="35" customFormat="1" ht="15" customHeight="1">
      <c r="A3075" s="2"/>
      <c r="B3075" s="2"/>
      <c r="C3075" s="3">
        <v>75</v>
      </c>
      <c r="D3075" s="47" t="s">
        <v>1976</v>
      </c>
      <c r="E3075" s="47"/>
      <c r="F3075" s="191"/>
      <c r="G3075" s="48"/>
      <c r="H3075" s="48"/>
      <c r="I3075" s="48"/>
      <c r="J3075" s="48"/>
      <c r="K3075" s="48"/>
      <c r="L3075" s="48"/>
      <c r="M3075" s="48"/>
      <c r="N3075" s="48"/>
      <c r="O3075" s="276"/>
      <c r="P3075" s="214">
        <v>2566</v>
      </c>
      <c r="Q3075" s="215">
        <v>75</v>
      </c>
      <c r="R3075" s="216" t="s">
        <v>2630</v>
      </c>
      <c r="S3075" s="217"/>
      <c r="T3075" s="218"/>
      <c r="U3075" s="218"/>
      <c r="V3075" s="219"/>
      <c r="W3075" s="219"/>
    </row>
    <row r="3076" spans="1:23" s="35" customFormat="1" ht="15" customHeight="1">
      <c r="A3076" s="2"/>
      <c r="B3076" s="2"/>
      <c r="C3076" s="3"/>
      <c r="D3076" s="47"/>
      <c r="E3076" s="47"/>
      <c r="F3076" s="191"/>
      <c r="G3076" s="48"/>
      <c r="H3076" s="48"/>
      <c r="I3076" s="48"/>
      <c r="J3076" s="48"/>
      <c r="K3076" s="48"/>
      <c r="L3076" s="48"/>
      <c r="M3076" s="48"/>
      <c r="N3076" s="48"/>
      <c r="O3076" s="276"/>
    </row>
    <row r="3077" spans="1:23" s="35" customFormat="1" ht="15" customHeight="1">
      <c r="A3077" s="2"/>
      <c r="B3077" s="2"/>
      <c r="C3077" s="3"/>
      <c r="D3077" s="47"/>
      <c r="E3077" s="47"/>
      <c r="F3077" s="191"/>
      <c r="G3077" s="48"/>
      <c r="H3077" s="48"/>
      <c r="I3077" s="48"/>
      <c r="J3077" s="48"/>
      <c r="K3077" s="48"/>
      <c r="L3077" s="48"/>
      <c r="M3077" s="48"/>
      <c r="N3077" s="48"/>
      <c r="O3077" s="276"/>
    </row>
    <row r="3078" spans="1:23" s="35" customFormat="1" ht="15" customHeight="1">
      <c r="A3078" s="2"/>
      <c r="B3078" s="2"/>
      <c r="C3078" s="3"/>
      <c r="D3078" s="47"/>
      <c r="E3078" s="47"/>
      <c r="F3078" s="191"/>
      <c r="G3078" s="48"/>
      <c r="H3078" s="48"/>
      <c r="I3078" s="48"/>
      <c r="J3078" s="48"/>
      <c r="K3078" s="48"/>
      <c r="L3078" s="48"/>
      <c r="M3078" s="48"/>
      <c r="N3078" s="48"/>
      <c r="O3078" s="276"/>
    </row>
    <row r="3079" spans="1:23" s="35" customFormat="1" ht="15" customHeight="1">
      <c r="A3079" s="2"/>
      <c r="B3079" s="2"/>
      <c r="C3079" s="3">
        <v>80</v>
      </c>
      <c r="D3079" s="47" t="s">
        <v>2392</v>
      </c>
      <c r="E3079" s="47"/>
      <c r="F3079" s="191"/>
      <c r="G3079" s="48"/>
      <c r="H3079" s="48"/>
      <c r="I3079" s="48"/>
      <c r="J3079" s="48"/>
      <c r="K3079" s="48"/>
      <c r="L3079" s="48"/>
      <c r="M3079" s="48"/>
      <c r="N3079" s="48"/>
      <c r="O3079" s="276"/>
    </row>
    <row r="3080" spans="1:23" s="35" customFormat="1" ht="15" customHeight="1">
      <c r="A3080" s="2"/>
      <c r="B3080" s="2"/>
      <c r="C3080" s="3">
        <v>80</v>
      </c>
      <c r="D3080" s="47"/>
      <c r="E3080" s="47"/>
      <c r="F3080" s="191"/>
      <c r="G3080" s="48"/>
      <c r="H3080" s="48"/>
      <c r="I3080" s="48"/>
      <c r="J3080" s="48"/>
      <c r="K3080" s="48"/>
      <c r="L3080" s="48"/>
      <c r="M3080" s="48"/>
      <c r="N3080" s="48"/>
      <c r="O3080" s="276"/>
    </row>
    <row r="3081" spans="1:23" ht="15" customHeight="1">
      <c r="C3081" s="3">
        <v>80</v>
      </c>
      <c r="D3081" s="54" t="s">
        <v>2874</v>
      </c>
      <c r="E3081" s="54"/>
      <c r="F3081" s="192"/>
      <c r="G3081" s="55"/>
      <c r="H3081" s="55"/>
      <c r="I3081" s="55"/>
      <c r="J3081" s="55"/>
      <c r="K3081" s="55"/>
      <c r="L3081" s="55"/>
      <c r="M3081" s="55"/>
      <c r="N3081" s="55">
        <f>+M3097</f>
        <v>6250</v>
      </c>
      <c r="O3081" s="278"/>
      <c r="P3081" s="203"/>
      <c r="Q3081" s="204"/>
      <c r="R3081" s="205"/>
      <c r="S3081" s="206"/>
      <c r="T3081" s="207"/>
      <c r="U3081" s="207"/>
      <c r="V3081" s="208"/>
      <c r="W3081" s="212"/>
    </row>
    <row r="3082" spans="1:23" s="35" customFormat="1" ht="15" customHeight="1">
      <c r="A3082" s="2"/>
      <c r="B3082" s="2"/>
      <c r="C3082" s="3">
        <v>80</v>
      </c>
      <c r="D3082" s="47"/>
      <c r="E3082" s="47"/>
      <c r="F3082" s="191"/>
      <c r="G3082" s="48"/>
      <c r="H3082" s="48"/>
      <c r="I3082" s="48"/>
      <c r="J3082" s="48"/>
      <c r="K3082" s="48"/>
      <c r="L3082" s="48"/>
      <c r="M3082" s="48"/>
      <c r="N3082" s="48"/>
      <c r="O3082" s="276"/>
    </row>
    <row r="3083" spans="1:23" ht="15" customHeight="1">
      <c r="C3083" s="3">
        <v>80</v>
      </c>
      <c r="D3083" s="47" t="s">
        <v>2229</v>
      </c>
      <c r="G3083" s="26"/>
      <c r="H3083" s="26"/>
      <c r="I3083" s="26"/>
      <c r="J3083" s="26"/>
      <c r="K3083" s="26"/>
      <c r="L3083" s="26"/>
      <c r="M3083" s="26"/>
      <c r="N3083" s="26"/>
      <c r="P3083" s="214">
        <v>2567</v>
      </c>
      <c r="Q3083" s="215">
        <v>80</v>
      </c>
      <c r="R3083" s="216" t="s">
        <v>2610</v>
      </c>
      <c r="S3083" s="217"/>
      <c r="T3083" s="218"/>
      <c r="U3083" s="218"/>
      <c r="V3083" s="219"/>
      <c r="W3083" s="219"/>
    </row>
    <row r="3084" spans="1:23" ht="15" customHeight="1">
      <c r="C3084" s="3">
        <v>80</v>
      </c>
      <c r="G3084" s="26"/>
      <c r="H3084" s="26"/>
      <c r="I3084" s="26"/>
      <c r="J3084" s="26"/>
      <c r="K3084" s="26"/>
      <c r="L3084" s="26"/>
      <c r="M3084" s="26"/>
      <c r="N3084" s="26"/>
      <c r="P3084" s="214">
        <v>2568</v>
      </c>
      <c r="Q3084" s="215">
        <v>80</v>
      </c>
      <c r="R3084" s="216" t="s">
        <v>2611</v>
      </c>
      <c r="S3084" s="217"/>
      <c r="T3084" s="218"/>
      <c r="U3084" s="218"/>
      <c r="V3084" s="219"/>
      <c r="W3084" s="219"/>
    </row>
    <row r="3085" spans="1:23" s="21" customFormat="1" ht="15" customHeight="1">
      <c r="A3085" s="2"/>
      <c r="B3085" s="2" t="s">
        <v>2318</v>
      </c>
      <c r="C3085" s="3">
        <v>80</v>
      </c>
      <c r="D3085" s="54" t="s">
        <v>2205</v>
      </c>
      <c r="E3085" s="54"/>
      <c r="F3085" s="192"/>
      <c r="G3085" s="55">
        <f>+G3087</f>
        <v>85914</v>
      </c>
      <c r="H3085" s="55">
        <f t="shared" ref="H3085:N3085" si="324">+H3087</f>
        <v>69870</v>
      </c>
      <c r="I3085" s="55">
        <f t="shared" si="324"/>
        <v>70391</v>
      </c>
      <c r="J3085" s="55">
        <f t="shared" si="324"/>
        <v>28284</v>
      </c>
      <c r="K3085" s="55">
        <f t="shared" si="324"/>
        <v>25000</v>
      </c>
      <c r="L3085" s="55">
        <f t="shared" si="324"/>
        <v>16486</v>
      </c>
      <c r="M3085" s="322">
        <f t="shared" si="324"/>
        <v>25000</v>
      </c>
      <c r="N3085" s="322">
        <f t="shared" si="324"/>
        <v>25000</v>
      </c>
      <c r="O3085" s="279"/>
      <c r="P3085" s="214">
        <v>2569</v>
      </c>
      <c r="Q3085" s="215">
        <v>80</v>
      </c>
      <c r="R3085" s="216" t="s">
        <v>2612</v>
      </c>
      <c r="S3085" s="217"/>
      <c r="T3085" s="218">
        <v>25000</v>
      </c>
      <c r="U3085" s="218">
        <v>2401.58</v>
      </c>
      <c r="V3085" s="219">
        <v>18887.88</v>
      </c>
      <c r="W3085" s="219">
        <v>75.55</v>
      </c>
    </row>
    <row r="3086" spans="1:23" s="57" customFormat="1" ht="15" customHeight="1">
      <c r="A3086" s="5"/>
      <c r="B3086" s="5"/>
      <c r="C3086" s="3">
        <v>80</v>
      </c>
      <c r="D3086" s="54"/>
      <c r="E3086" s="54"/>
      <c r="F3086" s="192"/>
      <c r="G3086" s="55"/>
      <c r="H3086" s="55"/>
      <c r="I3086" s="55"/>
      <c r="J3086" s="55"/>
      <c r="K3086" s="55"/>
      <c r="L3086" s="55"/>
      <c r="M3086" s="55"/>
      <c r="N3086" s="55"/>
      <c r="O3086" s="302"/>
      <c r="P3086" s="220"/>
      <c r="Q3086" s="220"/>
      <c r="R3086" s="220"/>
      <c r="S3086" s="220"/>
      <c r="T3086" s="220"/>
      <c r="U3086" s="220"/>
      <c r="V3086" s="220"/>
      <c r="W3086" s="220"/>
    </row>
    <row r="3087" spans="1:23" s="27" customFormat="1" ht="15" customHeight="1" thickBot="1">
      <c r="A3087" s="2"/>
      <c r="B3087" s="2" t="s">
        <v>2318</v>
      </c>
      <c r="C3087" s="3">
        <v>80</v>
      </c>
      <c r="D3087" s="68" t="str">
        <f>+D3101</f>
        <v>*** TOTAL FUND 80 REVENUES ***</v>
      </c>
      <c r="E3087" s="68"/>
      <c r="F3087" s="68">
        <f>+F3101</f>
        <v>0</v>
      </c>
      <c r="G3087" s="69">
        <f>+G3101</f>
        <v>85914</v>
      </c>
      <c r="H3087" s="69">
        <f t="shared" ref="H3087:N3087" si="325">+H3101</f>
        <v>69870</v>
      </c>
      <c r="I3087" s="69">
        <f t="shared" si="325"/>
        <v>70391</v>
      </c>
      <c r="J3087" s="69">
        <f t="shared" si="325"/>
        <v>28284</v>
      </c>
      <c r="K3087" s="69">
        <f t="shared" si="325"/>
        <v>25000</v>
      </c>
      <c r="L3087" s="69">
        <f t="shared" si="325"/>
        <v>16486</v>
      </c>
      <c r="M3087" s="69">
        <f t="shared" si="325"/>
        <v>25000</v>
      </c>
      <c r="N3087" s="69">
        <f t="shared" si="325"/>
        <v>25000</v>
      </c>
      <c r="O3087" s="281"/>
      <c r="P3087" s="214">
        <v>2570</v>
      </c>
      <c r="Q3087" s="215">
        <v>80</v>
      </c>
      <c r="R3087" s="216" t="s">
        <v>2613</v>
      </c>
      <c r="S3087" s="217"/>
      <c r="T3087" s="218">
        <v>25000</v>
      </c>
      <c r="U3087" s="218">
        <v>2401.58</v>
      </c>
      <c r="V3087" s="219">
        <v>18887.88</v>
      </c>
      <c r="W3087" s="219">
        <v>75.55</v>
      </c>
    </row>
    <row r="3088" spans="1:23" s="46" customFormat="1" ht="15" customHeight="1" thickTop="1">
      <c r="A3088" s="5"/>
      <c r="B3088" s="5"/>
      <c r="C3088" s="3">
        <v>80</v>
      </c>
      <c r="D3088" s="47"/>
      <c r="E3088" s="47"/>
      <c r="F3088" s="47"/>
      <c r="G3088" s="56"/>
      <c r="H3088" s="56"/>
      <c r="I3088" s="56"/>
      <c r="J3088" s="56"/>
      <c r="K3088" s="56"/>
      <c r="L3088" s="56"/>
      <c r="M3088" s="56"/>
      <c r="N3088" s="56"/>
      <c r="O3088" s="289"/>
      <c r="P3088" s="221"/>
      <c r="Q3088" s="221"/>
      <c r="R3088" s="221"/>
      <c r="S3088" s="221"/>
      <c r="T3088" s="221"/>
      <c r="U3088" s="221"/>
      <c r="V3088" s="221"/>
      <c r="W3088" s="221"/>
    </row>
    <row r="3089" spans="1:23" ht="15" customHeight="1">
      <c r="C3089" s="3">
        <v>80</v>
      </c>
      <c r="D3089" s="47" t="s">
        <v>1977</v>
      </c>
      <c r="G3089" s="26"/>
      <c r="H3089" s="26"/>
      <c r="I3089" s="26"/>
      <c r="J3089" s="26"/>
      <c r="K3089" s="26"/>
      <c r="L3089" s="26"/>
      <c r="M3089" s="26"/>
      <c r="N3089" s="26"/>
      <c r="P3089" s="214">
        <v>2571</v>
      </c>
      <c r="Q3089" s="215">
        <v>80</v>
      </c>
      <c r="R3089" s="216" t="s">
        <v>2614</v>
      </c>
      <c r="S3089" s="217"/>
      <c r="T3089" s="218"/>
      <c r="U3089" s="218"/>
      <c r="V3089" s="219"/>
      <c r="W3089" s="219"/>
    </row>
    <row r="3090" spans="1:23" ht="15" customHeight="1">
      <c r="C3090" s="3">
        <v>80</v>
      </c>
      <c r="G3090" s="26"/>
      <c r="H3090" s="26"/>
      <c r="I3090" s="26"/>
      <c r="J3090" s="26"/>
      <c r="K3090" s="26"/>
      <c r="L3090" s="26"/>
      <c r="M3090" s="26"/>
      <c r="N3090" s="26"/>
      <c r="P3090" s="214">
        <v>2572</v>
      </c>
      <c r="Q3090" s="215">
        <v>80</v>
      </c>
      <c r="R3090" s="216" t="s">
        <v>2615</v>
      </c>
      <c r="S3090" s="217"/>
      <c r="T3090" s="218"/>
      <c r="U3090" s="218"/>
      <c r="V3090" s="219"/>
      <c r="W3090" s="219"/>
    </row>
    <row r="3091" spans="1:23" ht="15" customHeight="1">
      <c r="B3091" s="2" t="s">
        <v>2318</v>
      </c>
      <c r="C3091" s="3">
        <v>80</v>
      </c>
      <c r="D3091" s="47" t="s">
        <v>1667</v>
      </c>
      <c r="G3091" s="26">
        <f>+G3109</f>
        <v>60664</v>
      </c>
      <c r="H3091" s="26">
        <f t="shared" ref="H3091:N3091" si="326">+H3109</f>
        <v>47525</v>
      </c>
      <c r="I3091" s="26">
        <f t="shared" si="326"/>
        <v>52892</v>
      </c>
      <c r="J3091" s="26">
        <f t="shared" si="326"/>
        <v>23819</v>
      </c>
      <c r="K3091" s="26">
        <f t="shared" si="326"/>
        <v>18750</v>
      </c>
      <c r="L3091" s="26">
        <f t="shared" si="326"/>
        <v>12309</v>
      </c>
      <c r="M3091" s="26">
        <f t="shared" si="326"/>
        <v>18750</v>
      </c>
      <c r="N3091" s="26">
        <f t="shared" si="326"/>
        <v>18750</v>
      </c>
      <c r="P3091" s="214">
        <v>2573</v>
      </c>
      <c r="Q3091" s="215">
        <v>80</v>
      </c>
      <c r="R3091" s="216" t="s">
        <v>1667</v>
      </c>
      <c r="S3091" s="217"/>
      <c r="T3091" s="218">
        <v>18750</v>
      </c>
      <c r="U3091" s="218">
        <v>1801.15</v>
      </c>
      <c r="V3091" s="219">
        <v>14110.01</v>
      </c>
      <c r="W3091" s="219">
        <v>75.25</v>
      </c>
    </row>
    <row r="3092" spans="1:23" ht="15" customHeight="1">
      <c r="C3092" s="3">
        <v>80</v>
      </c>
      <c r="D3092" s="47"/>
      <c r="G3092" s="26"/>
      <c r="H3092" s="26"/>
      <c r="I3092" s="26"/>
      <c r="J3092" s="26"/>
      <c r="K3092" s="26"/>
      <c r="L3092" s="26"/>
      <c r="M3092" s="26"/>
      <c r="N3092" s="26"/>
      <c r="P3092" s="222"/>
      <c r="Q3092" s="222"/>
      <c r="R3092" s="222"/>
      <c r="S3092" s="223"/>
      <c r="T3092" s="223"/>
      <c r="U3092" s="223"/>
      <c r="V3092" s="224"/>
      <c r="W3092" s="224"/>
    </row>
    <row r="3093" spans="1:23" s="37" customFormat="1" ht="15" customHeight="1">
      <c r="A3093" s="2"/>
      <c r="B3093" s="2" t="s">
        <v>2318</v>
      </c>
      <c r="C3093" s="3">
        <v>80</v>
      </c>
      <c r="D3093" s="54" t="str">
        <f>+D3111</f>
        <v>*** TOTAL FUND 80 XPENSES ***</v>
      </c>
      <c r="E3093" s="54"/>
      <c r="F3093" s="54">
        <f t="shared" ref="F3093:N3093" si="327">+F3111</f>
        <v>0</v>
      </c>
      <c r="G3093" s="339">
        <f t="shared" si="327"/>
        <v>60664</v>
      </c>
      <c r="H3093" s="339">
        <f t="shared" si="327"/>
        <v>47525</v>
      </c>
      <c r="I3093" s="339">
        <f t="shared" si="327"/>
        <v>52892</v>
      </c>
      <c r="J3093" s="339">
        <f t="shared" si="327"/>
        <v>23819</v>
      </c>
      <c r="K3093" s="339">
        <f t="shared" si="327"/>
        <v>18750</v>
      </c>
      <c r="L3093" s="339">
        <f t="shared" si="327"/>
        <v>12309</v>
      </c>
      <c r="M3093" s="339">
        <f t="shared" si="327"/>
        <v>18750</v>
      </c>
      <c r="N3093" s="339">
        <f t="shared" si="327"/>
        <v>18750</v>
      </c>
      <c r="O3093" s="303"/>
      <c r="P3093" s="214">
        <v>2574</v>
      </c>
      <c r="Q3093" s="215">
        <v>80</v>
      </c>
      <c r="R3093" s="216" t="s">
        <v>2618</v>
      </c>
      <c r="S3093" s="217"/>
      <c r="T3093" s="218">
        <v>18750</v>
      </c>
      <c r="U3093" s="218">
        <v>1801.15</v>
      </c>
      <c r="V3093" s="219">
        <v>14110.01</v>
      </c>
      <c r="W3093" s="219">
        <v>75.25</v>
      </c>
    </row>
    <row r="3094" spans="1:23" s="46" customFormat="1" ht="15" customHeight="1">
      <c r="A3094" s="5"/>
      <c r="B3094" s="5"/>
      <c r="C3094" s="3">
        <v>80</v>
      </c>
      <c r="D3094" s="47"/>
      <c r="E3094" s="47"/>
      <c r="F3094" s="47"/>
      <c r="G3094" s="56"/>
      <c r="H3094" s="56"/>
      <c r="I3094" s="56"/>
      <c r="J3094" s="56"/>
      <c r="K3094" s="56"/>
      <c r="L3094" s="56"/>
      <c r="M3094" s="56"/>
      <c r="N3094" s="56"/>
      <c r="O3094" s="289"/>
      <c r="P3094" s="221"/>
      <c r="Q3094" s="221"/>
      <c r="R3094" s="221"/>
      <c r="S3094" s="221"/>
      <c r="T3094" s="221"/>
      <c r="U3094" s="221"/>
      <c r="V3094" s="221"/>
      <c r="W3094" s="221"/>
    </row>
    <row r="3095" spans="1:23" s="33" customFormat="1" ht="15" customHeight="1" thickBot="1">
      <c r="A3095" s="2"/>
      <c r="B3095" s="2" t="s">
        <v>2318</v>
      </c>
      <c r="C3095" s="3">
        <v>80</v>
      </c>
      <c r="D3095" s="335" t="str">
        <f>+D3113</f>
        <v>*** FUND 80 REVENUES OVER(UNDER) EXPENSES ***</v>
      </c>
      <c r="E3095" s="336"/>
      <c r="F3095" s="336">
        <f>+F3113</f>
        <v>0</v>
      </c>
      <c r="G3095" s="336">
        <f>+G3113</f>
        <v>25250</v>
      </c>
      <c r="H3095" s="336">
        <f t="shared" ref="H3095:N3095" si="328">+H3113</f>
        <v>22345</v>
      </c>
      <c r="I3095" s="336">
        <f t="shared" si="328"/>
        <v>17499</v>
      </c>
      <c r="J3095" s="336">
        <f t="shared" si="328"/>
        <v>4465</v>
      </c>
      <c r="K3095" s="336">
        <f t="shared" si="328"/>
        <v>6250</v>
      </c>
      <c r="L3095" s="336">
        <f t="shared" si="328"/>
        <v>4177</v>
      </c>
      <c r="M3095" s="336">
        <f t="shared" si="328"/>
        <v>6250</v>
      </c>
      <c r="N3095" s="336">
        <f t="shared" si="328"/>
        <v>6250</v>
      </c>
      <c r="O3095" s="301"/>
      <c r="P3095" s="214">
        <v>2575</v>
      </c>
      <c r="Q3095" s="215">
        <v>80</v>
      </c>
      <c r="R3095" s="216" t="s">
        <v>2619</v>
      </c>
      <c r="S3095" s="217"/>
      <c r="T3095" s="218">
        <v>6250</v>
      </c>
      <c r="U3095" s="218">
        <v>600.42999999999995</v>
      </c>
      <c r="V3095" s="219">
        <v>4777.87</v>
      </c>
      <c r="W3095" s="219">
        <v>76.45</v>
      </c>
    </row>
    <row r="3096" spans="1:23" s="46" customFormat="1" ht="15" customHeight="1" thickTop="1">
      <c r="A3096" s="5"/>
      <c r="B3096" s="5"/>
      <c r="C3096" s="3">
        <v>80</v>
      </c>
      <c r="D3096" s="58"/>
      <c r="E3096" s="56"/>
      <c r="F3096" s="56"/>
      <c r="G3096" s="56"/>
      <c r="H3096" s="56"/>
      <c r="I3096" s="56"/>
      <c r="J3096" s="56"/>
      <c r="K3096" s="56"/>
      <c r="L3096" s="56"/>
      <c r="M3096" s="56"/>
      <c r="N3096" s="56"/>
      <c r="O3096" s="289"/>
      <c r="P3096" s="221"/>
      <c r="Q3096" s="221"/>
      <c r="R3096" s="221"/>
      <c r="S3096" s="221"/>
      <c r="T3096" s="221"/>
      <c r="U3096" s="221"/>
      <c r="V3096" s="221"/>
      <c r="W3096" s="221"/>
    </row>
    <row r="3097" spans="1:23" ht="15" customHeight="1">
      <c r="C3097" s="3">
        <v>80</v>
      </c>
      <c r="D3097" s="54" t="s">
        <v>2875</v>
      </c>
      <c r="E3097" s="54"/>
      <c r="F3097" s="192"/>
      <c r="G3097" s="55"/>
      <c r="H3097" s="55"/>
      <c r="I3097" s="55"/>
      <c r="J3097" s="55"/>
      <c r="K3097" s="55">
        <f>+K3081+K3087-K3093</f>
        <v>6250</v>
      </c>
      <c r="L3097" s="55"/>
      <c r="M3097" s="55">
        <f>+M3081+M3087-M3093</f>
        <v>6250</v>
      </c>
      <c r="N3097" s="55">
        <f>+N3081+N3087-N3093</f>
        <v>12500</v>
      </c>
      <c r="O3097" s="253"/>
      <c r="P3097" s="203"/>
      <c r="Q3097" s="204"/>
      <c r="R3097" s="205"/>
      <c r="S3097" s="206"/>
      <c r="T3097" s="207"/>
      <c r="U3097" s="207"/>
      <c r="V3097" s="208"/>
      <c r="W3097" s="212"/>
    </row>
    <row r="3098" spans="1:23" s="46" customFormat="1" ht="15" customHeight="1">
      <c r="A3098" s="195"/>
      <c r="B3098" s="195"/>
      <c r="C3098" s="3">
        <v>80</v>
      </c>
      <c r="D3098" s="58"/>
      <c r="E3098" s="56"/>
      <c r="F3098" s="56"/>
      <c r="G3098" s="56"/>
      <c r="H3098" s="56"/>
      <c r="I3098" s="56"/>
      <c r="J3098" s="56"/>
      <c r="K3098" s="56"/>
      <c r="L3098" s="56"/>
      <c r="M3098" s="26"/>
      <c r="N3098" s="26"/>
      <c r="O3098" s="289"/>
      <c r="P3098" s="221"/>
      <c r="Q3098" s="221"/>
      <c r="R3098" s="221"/>
      <c r="S3098" s="221"/>
      <c r="T3098" s="221"/>
      <c r="U3098" s="221"/>
      <c r="V3098" s="221"/>
      <c r="W3098" s="221"/>
    </row>
    <row r="3099" spans="1:23" ht="15" customHeight="1">
      <c r="C3099" s="3">
        <v>80</v>
      </c>
      <c r="D3099" s="15">
        <v>4330</v>
      </c>
      <c r="E3099" s="312" t="s">
        <v>1669</v>
      </c>
      <c r="G3099" s="26">
        <v>85914</v>
      </c>
      <c r="H3099" s="26">
        <v>69870</v>
      </c>
      <c r="I3099" s="26">
        <v>70391</v>
      </c>
      <c r="J3099" s="26">
        <v>28284</v>
      </c>
      <c r="K3099" s="26">
        <v>25000</v>
      </c>
      <c r="L3099" s="26">
        <v>16486</v>
      </c>
      <c r="M3099" s="26">
        <v>25000</v>
      </c>
      <c r="N3099" s="26">
        <v>25000</v>
      </c>
      <c r="O3099" s="285"/>
      <c r="P3099" s="214">
        <v>2576</v>
      </c>
      <c r="Q3099" s="215">
        <v>80</v>
      </c>
      <c r="R3099" s="216">
        <v>4330</v>
      </c>
      <c r="S3099" s="217" t="s">
        <v>1669</v>
      </c>
      <c r="T3099" s="218">
        <v>25000</v>
      </c>
      <c r="U3099" s="218">
        <v>2401.58</v>
      </c>
      <c r="V3099" s="219">
        <v>18887.88</v>
      </c>
      <c r="W3099" s="219">
        <v>75.55</v>
      </c>
    </row>
    <row r="3100" spans="1:23" ht="15" customHeight="1">
      <c r="C3100" s="3">
        <v>80</v>
      </c>
      <c r="E3100" s="14"/>
      <c r="G3100" s="26"/>
      <c r="H3100" s="26"/>
      <c r="I3100" s="26"/>
      <c r="J3100" s="26"/>
      <c r="K3100" s="26"/>
      <c r="L3100" s="26"/>
      <c r="M3100" s="26"/>
      <c r="N3100" s="26"/>
      <c r="P3100" s="222"/>
      <c r="Q3100" s="222"/>
      <c r="R3100" s="222"/>
      <c r="S3100" s="223"/>
      <c r="T3100" s="223"/>
      <c r="U3100" s="223"/>
      <c r="V3100" s="224"/>
      <c r="W3100" s="224"/>
    </row>
    <row r="3101" spans="1:23" s="27" customFormat="1" ht="15" customHeight="1" thickBot="1">
      <c r="A3101" s="2"/>
      <c r="B3101" s="2" t="s">
        <v>2317</v>
      </c>
      <c r="C3101" s="3">
        <v>80</v>
      </c>
      <c r="D3101" s="68" t="s">
        <v>2303</v>
      </c>
      <c r="E3101" s="68"/>
      <c r="F3101" s="320"/>
      <c r="G3101" s="69">
        <f>SUM(G3098:G3100)</f>
        <v>85914</v>
      </c>
      <c r="H3101" s="69">
        <f t="shared" ref="H3101:N3101" si="329">SUM(H3098:H3100)</f>
        <v>69870</v>
      </c>
      <c r="I3101" s="69">
        <f t="shared" si="329"/>
        <v>70391</v>
      </c>
      <c r="J3101" s="69">
        <f t="shared" si="329"/>
        <v>28284</v>
      </c>
      <c r="K3101" s="69">
        <f t="shared" si="329"/>
        <v>25000</v>
      </c>
      <c r="L3101" s="69">
        <f t="shared" si="329"/>
        <v>16486</v>
      </c>
      <c r="M3101" s="69">
        <f t="shared" si="329"/>
        <v>25000</v>
      </c>
      <c r="N3101" s="69">
        <f t="shared" si="329"/>
        <v>25000</v>
      </c>
      <c r="O3101" s="281"/>
      <c r="P3101" s="214">
        <v>2577</v>
      </c>
      <c r="Q3101" s="215">
        <v>80</v>
      </c>
      <c r="R3101" s="216" t="s">
        <v>2620</v>
      </c>
      <c r="S3101" s="217"/>
      <c r="T3101" s="218">
        <v>25000</v>
      </c>
      <c r="U3101" s="218">
        <v>2401.58</v>
      </c>
      <c r="V3101" s="219">
        <v>18887.88</v>
      </c>
      <c r="W3101" s="219">
        <v>75.55</v>
      </c>
    </row>
    <row r="3102" spans="1:23" s="46" customFormat="1" ht="15" customHeight="1" thickTop="1">
      <c r="A3102" s="5"/>
      <c r="B3102" s="5"/>
      <c r="C3102" s="3">
        <v>80</v>
      </c>
      <c r="D3102" s="47"/>
      <c r="E3102" s="47"/>
      <c r="F3102" s="191"/>
      <c r="G3102" s="56"/>
      <c r="H3102" s="56"/>
      <c r="I3102" s="56"/>
      <c r="J3102" s="56"/>
      <c r="K3102" s="56"/>
      <c r="L3102" s="56"/>
      <c r="M3102" s="56"/>
      <c r="N3102" s="56"/>
      <c r="O3102" s="289"/>
      <c r="P3102" s="214">
        <v>2578</v>
      </c>
      <c r="Q3102" s="215">
        <v>80</v>
      </c>
      <c r="R3102" s="216" t="s">
        <v>2633</v>
      </c>
      <c r="S3102" s="217"/>
      <c r="T3102" s="218"/>
      <c r="U3102" s="218"/>
      <c r="V3102" s="219"/>
      <c r="W3102" s="219"/>
    </row>
    <row r="3103" spans="1:23" ht="15" customHeight="1">
      <c r="C3103" s="3">
        <v>80</v>
      </c>
      <c r="D3103" s="15" t="s">
        <v>2414</v>
      </c>
      <c r="G3103" s="26"/>
      <c r="H3103" s="26"/>
      <c r="I3103" s="26"/>
      <c r="J3103" s="26"/>
      <c r="K3103" s="26"/>
      <c r="L3103" s="26"/>
      <c r="M3103" s="26"/>
      <c r="N3103" s="26"/>
      <c r="P3103" s="214">
        <v>2579</v>
      </c>
      <c r="Q3103" s="215">
        <v>80</v>
      </c>
      <c r="R3103" s="216" t="s">
        <v>2634</v>
      </c>
      <c r="S3103" s="217"/>
      <c r="T3103" s="218"/>
      <c r="U3103" s="218"/>
      <c r="V3103" s="219"/>
      <c r="W3103" s="219"/>
    </row>
    <row r="3104" spans="1:23" ht="15" customHeight="1">
      <c r="C3104" s="3">
        <v>80</v>
      </c>
      <c r="G3104" s="26"/>
      <c r="H3104" s="26"/>
      <c r="I3104" s="26"/>
      <c r="J3104" s="26"/>
      <c r="K3104" s="26"/>
      <c r="L3104" s="26"/>
      <c r="M3104" s="26"/>
      <c r="N3104" s="26"/>
      <c r="P3104" s="222"/>
      <c r="Q3104" s="222"/>
      <c r="R3104" s="222"/>
      <c r="S3104" s="223"/>
      <c r="T3104" s="223"/>
      <c r="U3104" s="223"/>
      <c r="V3104" s="224"/>
      <c r="W3104" s="224"/>
    </row>
    <row r="3105" spans="1:23" ht="15" customHeight="1">
      <c r="C3105" s="3">
        <v>80</v>
      </c>
      <c r="D3105" s="15" t="s">
        <v>1913</v>
      </c>
      <c r="E3105" s="312" t="s">
        <v>1914</v>
      </c>
      <c r="G3105" s="26">
        <v>60664</v>
      </c>
      <c r="H3105" s="26">
        <v>47525</v>
      </c>
      <c r="I3105" s="26">
        <v>52892</v>
      </c>
      <c r="J3105" s="26">
        <v>23819</v>
      </c>
      <c r="K3105" s="26">
        <v>18750</v>
      </c>
      <c r="L3105" s="26">
        <v>12309</v>
      </c>
      <c r="M3105" s="26">
        <f>+M3099*0.75</f>
        <v>18750</v>
      </c>
      <c r="N3105" s="26">
        <f>+N3099*0.75</f>
        <v>18750</v>
      </c>
      <c r="O3105" s="285" t="s">
        <v>3053</v>
      </c>
      <c r="P3105" s="214">
        <v>2580</v>
      </c>
      <c r="Q3105" s="215">
        <v>80</v>
      </c>
      <c r="R3105" s="216" t="s">
        <v>1913</v>
      </c>
      <c r="S3105" s="217" t="s">
        <v>1914</v>
      </c>
      <c r="T3105" s="218">
        <v>18750</v>
      </c>
      <c r="U3105" s="218">
        <v>1801.15</v>
      </c>
      <c r="V3105" s="219">
        <v>14110.01</v>
      </c>
      <c r="W3105" s="219">
        <v>75.25</v>
      </c>
    </row>
    <row r="3106" spans="1:23" ht="15" customHeight="1">
      <c r="C3106" s="3">
        <v>80</v>
      </c>
      <c r="G3106" s="26"/>
      <c r="H3106" s="26"/>
      <c r="I3106" s="26"/>
      <c r="J3106" s="26"/>
      <c r="K3106" s="26"/>
      <c r="L3106" s="26"/>
      <c r="M3106" s="26"/>
      <c r="N3106" s="26"/>
      <c r="P3106" s="214">
        <v>2581</v>
      </c>
      <c r="Q3106" s="215">
        <v>80</v>
      </c>
      <c r="R3106" s="216" t="s">
        <v>2623</v>
      </c>
      <c r="S3106" s="217"/>
      <c r="T3106" s="218"/>
      <c r="U3106" s="218"/>
      <c r="V3106" s="219"/>
      <c r="W3106" s="219"/>
    </row>
    <row r="3107" spans="1:23" s="64" customFormat="1" ht="15" customHeight="1">
      <c r="A3107" s="64" t="s">
        <v>2411</v>
      </c>
      <c r="B3107" s="64" t="s">
        <v>2317</v>
      </c>
      <c r="C3107" s="3">
        <v>80</v>
      </c>
      <c r="D3107" s="323" t="s">
        <v>2414</v>
      </c>
      <c r="E3107" s="323"/>
      <c r="F3107" s="324"/>
      <c r="G3107" s="325">
        <f>SUM(G3103:G3106)</f>
        <v>60664</v>
      </c>
      <c r="H3107" s="325">
        <f t="shared" ref="H3107:N3107" si="330">SUM(H3103:H3106)</f>
        <v>47525</v>
      </c>
      <c r="I3107" s="325">
        <f t="shared" si="330"/>
        <v>52892</v>
      </c>
      <c r="J3107" s="325">
        <f t="shared" si="330"/>
        <v>23819</v>
      </c>
      <c r="K3107" s="325">
        <f t="shared" si="330"/>
        <v>18750</v>
      </c>
      <c r="L3107" s="325">
        <f t="shared" si="330"/>
        <v>12309</v>
      </c>
      <c r="M3107" s="325">
        <f t="shared" si="330"/>
        <v>18750</v>
      </c>
      <c r="N3107" s="325">
        <f t="shared" si="330"/>
        <v>18750</v>
      </c>
      <c r="O3107" s="308"/>
      <c r="P3107" s="214">
        <v>2582</v>
      </c>
      <c r="Q3107" s="215">
        <v>80</v>
      </c>
      <c r="R3107" s="216" t="s">
        <v>2633</v>
      </c>
      <c r="S3107" s="217"/>
      <c r="T3107" s="218">
        <v>18750</v>
      </c>
      <c r="U3107" s="218">
        <v>1801.15</v>
      </c>
      <c r="V3107" s="219">
        <v>14110.01</v>
      </c>
      <c r="W3107" s="219">
        <v>0</v>
      </c>
    </row>
    <row r="3108" spans="1:23" ht="15" customHeight="1">
      <c r="C3108" s="3">
        <v>80</v>
      </c>
      <c r="G3108" s="26"/>
      <c r="H3108" s="26"/>
      <c r="I3108" s="26"/>
      <c r="J3108" s="26"/>
      <c r="K3108" s="26"/>
      <c r="L3108" s="26"/>
      <c r="M3108" s="26"/>
      <c r="N3108" s="26"/>
      <c r="P3108" s="214">
        <v>2583</v>
      </c>
      <c r="Q3108" s="215">
        <v>80</v>
      </c>
      <c r="R3108" s="216" t="s">
        <v>2623</v>
      </c>
      <c r="S3108" s="217"/>
      <c r="T3108" s="218"/>
      <c r="U3108" s="218"/>
      <c r="V3108" s="219"/>
      <c r="W3108" s="219"/>
    </row>
    <row r="3109" spans="1:23" ht="15" customHeight="1">
      <c r="B3109" s="2" t="s">
        <v>2317</v>
      </c>
      <c r="C3109" s="3">
        <v>80</v>
      </c>
      <c r="D3109" s="47" t="s">
        <v>1667</v>
      </c>
      <c r="G3109" s="26">
        <f>SUM(G3107:G3108)</f>
        <v>60664</v>
      </c>
      <c r="H3109" s="26">
        <f t="shared" ref="H3109:N3109" si="331">SUM(H3107:H3108)</f>
        <v>47525</v>
      </c>
      <c r="I3109" s="26">
        <f t="shared" si="331"/>
        <v>52892</v>
      </c>
      <c r="J3109" s="26">
        <f t="shared" si="331"/>
        <v>23819</v>
      </c>
      <c r="K3109" s="26">
        <f t="shared" si="331"/>
        <v>18750</v>
      </c>
      <c r="L3109" s="26">
        <f t="shared" si="331"/>
        <v>12309</v>
      </c>
      <c r="M3109" s="26">
        <f t="shared" si="331"/>
        <v>18750</v>
      </c>
      <c r="N3109" s="26">
        <f t="shared" si="331"/>
        <v>18750</v>
      </c>
      <c r="P3109" s="214">
        <v>2584</v>
      </c>
      <c r="Q3109" s="215">
        <v>80</v>
      </c>
      <c r="R3109" s="216" t="s">
        <v>1667</v>
      </c>
      <c r="S3109" s="217"/>
      <c r="T3109" s="218">
        <v>18750</v>
      </c>
      <c r="U3109" s="218">
        <v>1801.15</v>
      </c>
      <c r="V3109" s="219">
        <v>14110.01</v>
      </c>
      <c r="W3109" s="219">
        <v>75.25</v>
      </c>
    </row>
    <row r="3110" spans="1:23" ht="15" customHeight="1">
      <c r="C3110" s="3">
        <v>80</v>
      </c>
      <c r="D3110" s="47"/>
      <c r="G3110" s="26"/>
      <c r="H3110" s="26"/>
      <c r="I3110" s="26"/>
      <c r="J3110" s="26"/>
      <c r="K3110" s="26"/>
      <c r="L3110" s="26"/>
      <c r="M3110" s="26"/>
      <c r="N3110" s="26"/>
      <c r="P3110" s="222"/>
      <c r="Q3110" s="222"/>
      <c r="R3110" s="222"/>
      <c r="S3110" s="223"/>
      <c r="T3110" s="223"/>
      <c r="U3110" s="223"/>
      <c r="V3110" s="224"/>
      <c r="W3110" s="224"/>
    </row>
    <row r="3111" spans="1:23" s="31" customFormat="1" ht="15" customHeight="1">
      <c r="A3111" s="2"/>
      <c r="B3111" s="2" t="s">
        <v>2317</v>
      </c>
      <c r="C3111" s="3">
        <v>80</v>
      </c>
      <c r="D3111" s="54" t="s">
        <v>2280</v>
      </c>
      <c r="E3111" s="54"/>
      <c r="F3111" s="192"/>
      <c r="G3111" s="339">
        <f>SUM(G3109:G3110)</f>
        <v>60664</v>
      </c>
      <c r="H3111" s="339">
        <f t="shared" ref="H3111:N3111" si="332">SUM(H3109:H3110)</f>
        <v>47525</v>
      </c>
      <c r="I3111" s="339">
        <f t="shared" si="332"/>
        <v>52892</v>
      </c>
      <c r="J3111" s="339">
        <f t="shared" si="332"/>
        <v>23819</v>
      </c>
      <c r="K3111" s="339">
        <f t="shared" si="332"/>
        <v>18750</v>
      </c>
      <c r="L3111" s="339">
        <f t="shared" si="332"/>
        <v>12309</v>
      </c>
      <c r="M3111" s="339">
        <f t="shared" si="332"/>
        <v>18750</v>
      </c>
      <c r="N3111" s="339">
        <f t="shared" si="332"/>
        <v>18750</v>
      </c>
      <c r="O3111" s="305"/>
      <c r="P3111" s="214">
        <v>2585</v>
      </c>
      <c r="Q3111" s="215">
        <v>80</v>
      </c>
      <c r="R3111" s="216" t="s">
        <v>2618</v>
      </c>
      <c r="S3111" s="217"/>
      <c r="T3111" s="218">
        <v>18750</v>
      </c>
      <c r="U3111" s="218">
        <v>1801.15</v>
      </c>
      <c r="V3111" s="219">
        <v>14110.01</v>
      </c>
      <c r="W3111" s="219">
        <v>75.25</v>
      </c>
    </row>
    <row r="3112" spans="1:23" s="46" customFormat="1" ht="15" customHeight="1">
      <c r="A3112" s="5"/>
      <c r="B3112" s="5"/>
      <c r="C3112" s="3">
        <v>80</v>
      </c>
      <c r="D3112" s="47"/>
      <c r="E3112" s="47"/>
      <c r="F3112" s="191"/>
      <c r="G3112" s="56"/>
      <c r="H3112" s="56"/>
      <c r="I3112" s="56"/>
      <c r="J3112" s="56"/>
      <c r="K3112" s="56"/>
      <c r="L3112" s="56"/>
      <c r="M3112" s="56"/>
      <c r="N3112" s="56"/>
      <c r="O3112" s="289"/>
      <c r="P3112" s="221"/>
      <c r="Q3112" s="221"/>
      <c r="R3112" s="221"/>
      <c r="S3112" s="221"/>
      <c r="T3112" s="221"/>
      <c r="U3112" s="221"/>
      <c r="V3112" s="221"/>
      <c r="W3112" s="221"/>
    </row>
    <row r="3113" spans="1:23" s="33" customFormat="1" ht="15" customHeight="1" thickBot="1">
      <c r="A3113" s="2"/>
      <c r="B3113" s="2" t="s">
        <v>2317</v>
      </c>
      <c r="C3113" s="3">
        <v>80</v>
      </c>
      <c r="D3113" s="329" t="s">
        <v>2255</v>
      </c>
      <c r="E3113" s="329"/>
      <c r="F3113" s="330"/>
      <c r="G3113" s="336">
        <f>+G3101-G3111</f>
        <v>25250</v>
      </c>
      <c r="H3113" s="336">
        <f t="shared" ref="H3113:N3113" si="333">+H3101-H3111</f>
        <v>22345</v>
      </c>
      <c r="I3113" s="336">
        <f t="shared" si="333"/>
        <v>17499</v>
      </c>
      <c r="J3113" s="336">
        <f t="shared" si="333"/>
        <v>4465</v>
      </c>
      <c r="K3113" s="336">
        <f t="shared" si="333"/>
        <v>6250</v>
      </c>
      <c r="L3113" s="336">
        <f t="shared" si="333"/>
        <v>4177</v>
      </c>
      <c r="M3113" s="336">
        <f t="shared" si="333"/>
        <v>6250</v>
      </c>
      <c r="N3113" s="336">
        <f t="shared" si="333"/>
        <v>6250</v>
      </c>
      <c r="O3113" s="301"/>
      <c r="P3113" s="214">
        <v>2586</v>
      </c>
      <c r="Q3113" s="215">
        <v>80</v>
      </c>
      <c r="R3113" s="216" t="s">
        <v>2619</v>
      </c>
      <c r="S3113" s="217"/>
      <c r="T3113" s="218">
        <v>6250</v>
      </c>
      <c r="U3113" s="218">
        <v>600.42999999999995</v>
      </c>
      <c r="V3113" s="219">
        <v>4777.87</v>
      </c>
      <c r="W3113" s="219">
        <v>0</v>
      </c>
    </row>
    <row r="3114" spans="1:23" s="46" customFormat="1" ht="15" customHeight="1" thickTop="1">
      <c r="A3114" s="5"/>
      <c r="B3114" s="5"/>
      <c r="C3114" s="3">
        <v>80</v>
      </c>
      <c r="D3114" s="47"/>
      <c r="E3114" s="47"/>
      <c r="F3114" s="191"/>
      <c r="G3114" s="56"/>
      <c r="H3114" s="56"/>
      <c r="I3114" s="56"/>
      <c r="J3114" s="56"/>
      <c r="K3114" s="56"/>
      <c r="L3114" s="56"/>
      <c r="M3114" s="56"/>
      <c r="N3114" s="56"/>
      <c r="O3114" s="289"/>
      <c r="P3114" s="221"/>
      <c r="Q3114" s="221"/>
      <c r="R3114" s="221"/>
      <c r="S3114" s="221"/>
      <c r="T3114" s="221"/>
      <c r="U3114" s="221"/>
      <c r="V3114" s="221"/>
      <c r="W3114" s="221"/>
    </row>
    <row r="3115" spans="1:23" ht="15" customHeight="1">
      <c r="C3115" s="3">
        <v>80</v>
      </c>
      <c r="D3115" s="54" t="s">
        <v>2875</v>
      </c>
      <c r="E3115" s="54"/>
      <c r="F3115" s="192"/>
      <c r="G3115" s="55"/>
      <c r="H3115" s="55"/>
      <c r="I3115" s="55"/>
      <c r="J3115" s="55"/>
      <c r="K3115" s="55">
        <f>+K3097</f>
        <v>6250</v>
      </c>
      <c r="L3115" s="55"/>
      <c r="M3115" s="55">
        <f>+M3097</f>
        <v>6250</v>
      </c>
      <c r="N3115" s="55">
        <f>+N3097</f>
        <v>12500</v>
      </c>
      <c r="O3115" s="253"/>
      <c r="P3115" s="203"/>
      <c r="Q3115" s="204"/>
      <c r="R3115" s="205"/>
      <c r="S3115" s="206"/>
      <c r="T3115" s="207"/>
      <c r="U3115" s="207"/>
      <c r="V3115" s="208"/>
      <c r="W3115" s="212"/>
    </row>
    <row r="3116" spans="1:23" s="46" customFormat="1" ht="15" customHeight="1">
      <c r="A3116" s="195"/>
      <c r="B3116" s="195"/>
      <c r="C3116" s="3">
        <v>80</v>
      </c>
      <c r="D3116" s="47"/>
      <c r="E3116" s="47"/>
      <c r="F3116" s="191"/>
      <c r="G3116" s="56"/>
      <c r="H3116" s="56"/>
      <c r="I3116" s="56"/>
      <c r="J3116" s="56"/>
      <c r="K3116" s="56"/>
      <c r="L3116" s="56"/>
      <c r="M3116" s="56"/>
      <c r="N3116" s="56"/>
      <c r="O3116" s="289"/>
      <c r="P3116" s="221"/>
      <c r="Q3116" s="221"/>
      <c r="R3116" s="221"/>
      <c r="S3116" s="221"/>
      <c r="T3116" s="221"/>
      <c r="U3116" s="221"/>
      <c r="V3116" s="221"/>
      <c r="W3116" s="221"/>
    </row>
    <row r="3117" spans="1:23" s="35" customFormat="1" ht="15" customHeight="1">
      <c r="A3117" s="2"/>
      <c r="B3117" s="2"/>
      <c r="C3117" s="3">
        <v>80</v>
      </c>
      <c r="D3117" s="47" t="s">
        <v>1976</v>
      </c>
      <c r="E3117" s="47"/>
      <c r="F3117" s="191"/>
      <c r="G3117" s="48"/>
      <c r="H3117" s="48"/>
      <c r="I3117" s="48"/>
      <c r="J3117" s="48"/>
      <c r="K3117" s="48"/>
      <c r="L3117" s="48"/>
      <c r="M3117" s="48"/>
      <c r="N3117" s="48"/>
      <c r="O3117" s="276"/>
      <c r="P3117" s="214">
        <v>2587</v>
      </c>
      <c r="Q3117" s="215">
        <v>80</v>
      </c>
      <c r="R3117" s="216" t="s">
        <v>2630</v>
      </c>
      <c r="S3117" s="217"/>
      <c r="T3117" s="218"/>
      <c r="U3117" s="218"/>
      <c r="V3117" s="219"/>
      <c r="W3117" s="219"/>
    </row>
    <row r="3118" spans="1:23" s="35" customFormat="1" ht="15" customHeight="1">
      <c r="A3118" s="2"/>
      <c r="B3118" s="2"/>
      <c r="C3118" s="3"/>
      <c r="D3118" s="47"/>
      <c r="E3118" s="47"/>
      <c r="F3118" s="191"/>
      <c r="G3118" s="48"/>
      <c r="H3118" s="48"/>
      <c r="I3118" s="48"/>
      <c r="J3118" s="48"/>
      <c r="K3118" s="48"/>
      <c r="L3118" s="48"/>
      <c r="M3118" s="48"/>
      <c r="N3118" s="48"/>
      <c r="O3118" s="276"/>
    </row>
    <row r="3119" spans="1:23" s="35" customFormat="1" ht="15" customHeight="1">
      <c r="A3119" s="2"/>
      <c r="B3119" s="2"/>
      <c r="C3119" s="3"/>
      <c r="D3119" s="47"/>
      <c r="E3119" s="47"/>
      <c r="F3119" s="191"/>
      <c r="G3119" s="48"/>
      <c r="H3119" s="48"/>
      <c r="I3119" s="48"/>
      <c r="J3119" s="48"/>
      <c r="K3119" s="48"/>
      <c r="L3119" s="48"/>
      <c r="M3119" s="48"/>
      <c r="N3119" s="48"/>
      <c r="O3119" s="276"/>
    </row>
    <row r="3120" spans="1:23" s="35" customFormat="1" ht="15" customHeight="1">
      <c r="A3120" s="2"/>
      <c r="B3120" s="2"/>
      <c r="C3120" s="3"/>
      <c r="D3120" s="47"/>
      <c r="E3120" s="47"/>
      <c r="F3120" s="191"/>
      <c r="G3120" s="48"/>
      <c r="H3120" s="48"/>
      <c r="I3120" s="48"/>
      <c r="J3120" s="48"/>
      <c r="K3120" s="48"/>
      <c r="L3120" s="48"/>
      <c r="M3120" s="48"/>
      <c r="N3120" s="48"/>
      <c r="O3120" s="276"/>
    </row>
    <row r="3121" spans="1:23" s="35" customFormat="1" ht="15" customHeight="1">
      <c r="A3121" s="2"/>
      <c r="B3121" s="2"/>
      <c r="C3121" s="3">
        <v>81</v>
      </c>
      <c r="D3121" s="47" t="s">
        <v>2393</v>
      </c>
      <c r="E3121" s="47"/>
      <c r="F3121" s="191"/>
      <c r="G3121" s="48"/>
      <c r="H3121" s="48"/>
      <c r="I3121" s="48"/>
      <c r="J3121" s="48"/>
      <c r="K3121" s="48"/>
      <c r="L3121" s="48"/>
      <c r="M3121" s="48"/>
      <c r="N3121" s="48"/>
      <c r="O3121" s="276"/>
    </row>
    <row r="3122" spans="1:23" s="35" customFormat="1" ht="15" customHeight="1">
      <c r="A3122" s="2"/>
      <c r="B3122" s="2"/>
      <c r="C3122" s="3">
        <v>81</v>
      </c>
      <c r="D3122" s="47"/>
      <c r="E3122" s="47"/>
      <c r="F3122" s="191"/>
      <c r="G3122" s="48"/>
      <c r="H3122" s="48"/>
      <c r="I3122" s="48"/>
      <c r="J3122" s="48"/>
      <c r="K3122" s="48"/>
      <c r="L3122" s="48"/>
      <c r="M3122" s="48"/>
      <c r="N3122" s="48"/>
      <c r="O3122" s="276"/>
    </row>
    <row r="3123" spans="1:23" ht="15" customHeight="1">
      <c r="C3123" s="3">
        <v>81</v>
      </c>
      <c r="D3123" s="54" t="s">
        <v>2874</v>
      </c>
      <c r="E3123" s="54"/>
      <c r="F3123" s="192"/>
      <c r="G3123" s="55"/>
      <c r="H3123" s="55"/>
      <c r="I3123" s="55"/>
      <c r="J3123" s="55"/>
      <c r="K3123" s="55">
        <v>9000</v>
      </c>
      <c r="L3123" s="55"/>
      <c r="M3123" s="55">
        <v>9000</v>
      </c>
      <c r="N3123" s="55">
        <f>+M3139</f>
        <v>4398</v>
      </c>
      <c r="O3123" s="278" t="s">
        <v>3056</v>
      </c>
      <c r="P3123" s="203"/>
      <c r="Q3123" s="204"/>
      <c r="R3123" s="205"/>
      <c r="S3123" s="206"/>
      <c r="T3123" s="207"/>
      <c r="U3123" s="207"/>
      <c r="V3123" s="208"/>
      <c r="W3123" s="212"/>
    </row>
    <row r="3124" spans="1:23" s="35" customFormat="1" ht="15" customHeight="1">
      <c r="A3124" s="2"/>
      <c r="B3124" s="2"/>
      <c r="C3124" s="3">
        <v>81</v>
      </c>
      <c r="D3124" s="47"/>
      <c r="E3124" s="47"/>
      <c r="F3124" s="191"/>
      <c r="G3124" s="48"/>
      <c r="H3124" s="48"/>
      <c r="I3124" s="48"/>
      <c r="J3124" s="48"/>
      <c r="K3124" s="48"/>
      <c r="L3124" s="48"/>
      <c r="M3124" s="48"/>
      <c r="N3124" s="48"/>
      <c r="O3124" s="276"/>
    </row>
    <row r="3125" spans="1:23" ht="15" customHeight="1">
      <c r="C3125" s="3">
        <v>81</v>
      </c>
      <c r="D3125" s="47" t="s">
        <v>2230</v>
      </c>
      <c r="G3125" s="26"/>
      <c r="H3125" s="26"/>
      <c r="I3125" s="26"/>
      <c r="J3125" s="26"/>
      <c r="K3125" s="26"/>
      <c r="L3125" s="26"/>
      <c r="M3125" s="26"/>
      <c r="N3125" s="26"/>
      <c r="P3125" s="214">
        <v>2588</v>
      </c>
      <c r="Q3125" s="215">
        <v>81</v>
      </c>
      <c r="R3125" s="216" t="s">
        <v>2610</v>
      </c>
      <c r="S3125" s="217"/>
      <c r="T3125" s="218"/>
      <c r="U3125" s="218"/>
      <c r="V3125" s="219"/>
      <c r="W3125" s="219"/>
    </row>
    <row r="3126" spans="1:23" ht="15" customHeight="1">
      <c r="C3126" s="3">
        <v>81</v>
      </c>
      <c r="G3126" s="26"/>
      <c r="H3126" s="26"/>
      <c r="I3126" s="26"/>
      <c r="J3126" s="26"/>
      <c r="K3126" s="26"/>
      <c r="L3126" s="26"/>
      <c r="M3126" s="26"/>
      <c r="N3126" s="26"/>
      <c r="P3126" s="214">
        <v>2589</v>
      </c>
      <c r="Q3126" s="215">
        <v>81</v>
      </c>
      <c r="R3126" s="216" t="s">
        <v>2611</v>
      </c>
      <c r="S3126" s="217"/>
      <c r="T3126" s="218"/>
      <c r="U3126" s="218"/>
      <c r="V3126" s="219"/>
      <c r="W3126" s="219"/>
    </row>
    <row r="3127" spans="1:23" s="21" customFormat="1" ht="15" customHeight="1">
      <c r="A3127" s="2"/>
      <c r="B3127" s="2" t="s">
        <v>2318</v>
      </c>
      <c r="C3127" s="3">
        <v>81</v>
      </c>
      <c r="D3127" s="54" t="s">
        <v>2206</v>
      </c>
      <c r="E3127" s="54"/>
      <c r="F3127" s="192"/>
      <c r="G3127" s="55">
        <f>+G3129</f>
        <v>6684</v>
      </c>
      <c r="H3127" s="55">
        <f t="shared" ref="H3127:N3127" si="334">+H3129</f>
        <v>6158</v>
      </c>
      <c r="I3127" s="55">
        <f t="shared" si="334"/>
        <v>6253</v>
      </c>
      <c r="J3127" s="55">
        <f t="shared" si="334"/>
        <v>6492</v>
      </c>
      <c r="K3127" s="55">
        <f t="shared" si="334"/>
        <v>5550</v>
      </c>
      <c r="L3127" s="55">
        <f t="shared" si="334"/>
        <v>3710</v>
      </c>
      <c r="M3127" s="55">
        <f t="shared" si="334"/>
        <v>6200</v>
      </c>
      <c r="N3127" s="55">
        <f t="shared" si="334"/>
        <v>6200</v>
      </c>
      <c r="O3127" s="279"/>
      <c r="P3127" s="214">
        <v>2590</v>
      </c>
      <c r="Q3127" s="215">
        <v>81</v>
      </c>
      <c r="R3127" s="216" t="s">
        <v>2612</v>
      </c>
      <c r="S3127" s="217"/>
      <c r="T3127" s="218">
        <v>5550</v>
      </c>
      <c r="U3127" s="218">
        <v>523.1</v>
      </c>
      <c r="V3127" s="219">
        <v>4233.1000000000004</v>
      </c>
      <c r="W3127" s="219">
        <v>76.27</v>
      </c>
    </row>
    <row r="3128" spans="1:23" s="57" customFormat="1" ht="15" customHeight="1">
      <c r="A3128" s="5"/>
      <c r="B3128" s="5"/>
      <c r="C3128" s="3">
        <v>81</v>
      </c>
      <c r="D3128" s="54"/>
      <c r="E3128" s="54"/>
      <c r="F3128" s="192"/>
      <c r="G3128" s="55"/>
      <c r="H3128" s="55"/>
      <c r="I3128" s="55"/>
      <c r="J3128" s="55"/>
      <c r="K3128" s="55"/>
      <c r="L3128" s="55"/>
      <c r="M3128" s="55"/>
      <c r="N3128" s="55"/>
      <c r="O3128" s="302"/>
      <c r="P3128" s="220"/>
      <c r="Q3128" s="220"/>
      <c r="R3128" s="220"/>
      <c r="S3128" s="220"/>
      <c r="T3128" s="220"/>
      <c r="U3128" s="220"/>
      <c r="V3128" s="220"/>
      <c r="W3128" s="220"/>
    </row>
    <row r="3129" spans="1:23" s="27" customFormat="1" ht="15" customHeight="1" thickBot="1">
      <c r="A3129" s="2"/>
      <c r="B3129" s="2" t="s">
        <v>2318</v>
      </c>
      <c r="C3129" s="3">
        <v>81</v>
      </c>
      <c r="D3129" s="68" t="str">
        <f>+D3145</f>
        <v>*** TOTAL FUND 81 REVENUES ***</v>
      </c>
      <c r="E3129" s="68"/>
      <c r="F3129" s="68">
        <f>+F3145</f>
        <v>0</v>
      </c>
      <c r="G3129" s="69">
        <f>+G3145</f>
        <v>6684</v>
      </c>
      <c r="H3129" s="69">
        <f t="shared" ref="H3129:N3129" si="335">+H3145</f>
        <v>6158</v>
      </c>
      <c r="I3129" s="69">
        <f t="shared" si="335"/>
        <v>6253</v>
      </c>
      <c r="J3129" s="69">
        <f t="shared" si="335"/>
        <v>6492</v>
      </c>
      <c r="K3129" s="69">
        <f t="shared" si="335"/>
        <v>5550</v>
      </c>
      <c r="L3129" s="69">
        <f t="shared" si="335"/>
        <v>3710</v>
      </c>
      <c r="M3129" s="69">
        <f t="shared" si="335"/>
        <v>6200</v>
      </c>
      <c r="N3129" s="69">
        <f t="shared" si="335"/>
        <v>6200</v>
      </c>
      <c r="O3129" s="281"/>
      <c r="P3129" s="214">
        <v>2591</v>
      </c>
      <c r="Q3129" s="215">
        <v>81</v>
      </c>
      <c r="R3129" s="216" t="s">
        <v>2613</v>
      </c>
      <c r="S3129" s="217"/>
      <c r="T3129" s="218">
        <v>5550</v>
      </c>
      <c r="U3129" s="218">
        <v>523.1</v>
      </c>
      <c r="V3129" s="219">
        <v>4233.1000000000004</v>
      </c>
      <c r="W3129" s="219">
        <v>76.27</v>
      </c>
    </row>
    <row r="3130" spans="1:23" s="46" customFormat="1" ht="15" customHeight="1" thickTop="1">
      <c r="A3130" s="5"/>
      <c r="B3130" s="5"/>
      <c r="C3130" s="3">
        <v>81</v>
      </c>
      <c r="D3130" s="47"/>
      <c r="E3130" s="47"/>
      <c r="F3130" s="47"/>
      <c r="G3130" s="56"/>
      <c r="H3130" s="56"/>
      <c r="I3130" s="56"/>
      <c r="J3130" s="56"/>
      <c r="K3130" s="56"/>
      <c r="L3130" s="56"/>
      <c r="M3130" s="56"/>
      <c r="N3130" s="56"/>
      <c r="O3130" s="289"/>
      <c r="P3130" s="221"/>
      <c r="Q3130" s="221"/>
      <c r="R3130" s="221"/>
      <c r="S3130" s="221"/>
      <c r="T3130" s="221"/>
      <c r="U3130" s="221"/>
      <c r="V3130" s="221"/>
      <c r="W3130" s="221"/>
    </row>
    <row r="3131" spans="1:23" ht="15" customHeight="1">
      <c r="C3131" s="3">
        <v>81</v>
      </c>
      <c r="D3131" s="47" t="s">
        <v>1977</v>
      </c>
      <c r="G3131" s="26"/>
      <c r="H3131" s="26"/>
      <c r="I3131" s="26"/>
      <c r="J3131" s="26"/>
      <c r="K3131" s="26"/>
      <c r="L3131" s="26"/>
      <c r="M3131" s="26"/>
      <c r="N3131" s="26"/>
      <c r="P3131" s="214">
        <v>2592</v>
      </c>
      <c r="Q3131" s="215">
        <v>81</v>
      </c>
      <c r="R3131" s="216" t="s">
        <v>2614</v>
      </c>
      <c r="S3131" s="217"/>
      <c r="T3131" s="218"/>
      <c r="U3131" s="218"/>
      <c r="V3131" s="219"/>
      <c r="W3131" s="219"/>
    </row>
    <row r="3132" spans="1:23" ht="15" customHeight="1">
      <c r="C3132" s="3">
        <v>81</v>
      </c>
      <c r="G3132" s="26"/>
      <c r="H3132" s="26"/>
      <c r="I3132" s="26"/>
      <c r="J3132" s="26"/>
      <c r="K3132" s="26"/>
      <c r="L3132" s="26"/>
      <c r="M3132" s="26"/>
      <c r="N3132" s="26"/>
      <c r="P3132" s="214">
        <v>2593</v>
      </c>
      <c r="Q3132" s="215">
        <v>81</v>
      </c>
      <c r="R3132" s="216" t="s">
        <v>2615</v>
      </c>
      <c r="S3132" s="217"/>
      <c r="T3132" s="218"/>
      <c r="U3132" s="218"/>
      <c r="V3132" s="219"/>
      <c r="W3132" s="219"/>
    </row>
    <row r="3133" spans="1:23" ht="15" customHeight="1">
      <c r="B3133" s="2" t="s">
        <v>2318</v>
      </c>
      <c r="C3133" s="3">
        <v>81</v>
      </c>
      <c r="D3133" s="47" t="s">
        <v>1667</v>
      </c>
      <c r="G3133" s="26">
        <f>+G3153</f>
        <v>9449</v>
      </c>
      <c r="H3133" s="26">
        <f t="shared" ref="H3133:N3133" si="336">+H3153</f>
        <v>5431</v>
      </c>
      <c r="I3133" s="26">
        <f t="shared" si="336"/>
        <v>6180</v>
      </c>
      <c r="J3133" s="26">
        <f t="shared" si="336"/>
        <v>4513</v>
      </c>
      <c r="K3133" s="26">
        <f t="shared" si="336"/>
        <v>5550</v>
      </c>
      <c r="L3133" s="26">
        <f t="shared" si="336"/>
        <v>10802</v>
      </c>
      <c r="M3133" s="26">
        <f t="shared" si="336"/>
        <v>10802</v>
      </c>
      <c r="N3133" s="26">
        <f t="shared" si="336"/>
        <v>6500</v>
      </c>
      <c r="P3133" s="214">
        <v>2594</v>
      </c>
      <c r="Q3133" s="215">
        <v>81</v>
      </c>
      <c r="R3133" s="216" t="s">
        <v>1667</v>
      </c>
      <c r="S3133" s="217"/>
      <c r="T3133" s="218">
        <v>5550</v>
      </c>
      <c r="U3133" s="218">
        <v>0</v>
      </c>
      <c r="V3133" s="219">
        <v>10801.63</v>
      </c>
      <c r="W3133" s="219">
        <v>194.62</v>
      </c>
    </row>
    <row r="3134" spans="1:23" ht="15" customHeight="1">
      <c r="C3134" s="3">
        <v>81</v>
      </c>
      <c r="D3134" s="47"/>
      <c r="G3134" s="26"/>
      <c r="H3134" s="26"/>
      <c r="I3134" s="26"/>
      <c r="J3134" s="26"/>
      <c r="K3134" s="26"/>
      <c r="L3134" s="26"/>
      <c r="M3134" s="26"/>
      <c r="N3134" s="26"/>
      <c r="P3134" s="222"/>
      <c r="Q3134" s="222"/>
      <c r="R3134" s="222"/>
      <c r="S3134" s="223"/>
      <c r="T3134" s="223"/>
      <c r="U3134" s="223"/>
      <c r="V3134" s="224"/>
      <c r="W3134" s="224"/>
    </row>
    <row r="3135" spans="1:23" s="37" customFormat="1" ht="15" customHeight="1">
      <c r="A3135" s="2"/>
      <c r="B3135" s="2" t="s">
        <v>2318</v>
      </c>
      <c r="C3135" s="3">
        <v>81</v>
      </c>
      <c r="D3135" s="54" t="str">
        <f>+D3155</f>
        <v>*** TOTAL FUND 81 EXPENSES ***</v>
      </c>
      <c r="E3135" s="54"/>
      <c r="F3135" s="54">
        <f t="shared" ref="F3135:N3135" si="337">+F3155</f>
        <v>0</v>
      </c>
      <c r="G3135" s="339">
        <f t="shared" si="337"/>
        <v>9449</v>
      </c>
      <c r="H3135" s="339">
        <f t="shared" si="337"/>
        <v>5431</v>
      </c>
      <c r="I3135" s="339">
        <f t="shared" si="337"/>
        <v>6180</v>
      </c>
      <c r="J3135" s="339">
        <f t="shared" si="337"/>
        <v>4513</v>
      </c>
      <c r="K3135" s="339">
        <f t="shared" si="337"/>
        <v>5550</v>
      </c>
      <c r="L3135" s="339">
        <f t="shared" si="337"/>
        <v>10802</v>
      </c>
      <c r="M3135" s="339">
        <f t="shared" si="337"/>
        <v>10802</v>
      </c>
      <c r="N3135" s="339">
        <f t="shared" si="337"/>
        <v>6500</v>
      </c>
      <c r="O3135" s="303"/>
      <c r="P3135" s="214">
        <v>2595</v>
      </c>
      <c r="Q3135" s="215">
        <v>81</v>
      </c>
      <c r="R3135" s="216" t="s">
        <v>2618</v>
      </c>
      <c r="S3135" s="217"/>
      <c r="T3135" s="218">
        <v>5550</v>
      </c>
      <c r="U3135" s="218">
        <v>0</v>
      </c>
      <c r="V3135" s="219">
        <v>10801.63</v>
      </c>
      <c r="W3135" s="219">
        <v>194.62</v>
      </c>
    </row>
    <row r="3136" spans="1:23" s="46" customFormat="1" ht="15" customHeight="1">
      <c r="A3136" s="5"/>
      <c r="B3136" s="5"/>
      <c r="C3136" s="3">
        <v>81</v>
      </c>
      <c r="D3136" s="47"/>
      <c r="E3136" s="47"/>
      <c r="F3136" s="47"/>
      <c r="G3136" s="56"/>
      <c r="H3136" s="56"/>
      <c r="I3136" s="56"/>
      <c r="J3136" s="56"/>
      <c r="K3136" s="56"/>
      <c r="L3136" s="56"/>
      <c r="M3136" s="56"/>
      <c r="N3136" s="56"/>
      <c r="O3136" s="289"/>
      <c r="P3136" s="221"/>
      <c r="Q3136" s="221"/>
      <c r="R3136" s="221"/>
      <c r="S3136" s="221"/>
      <c r="T3136" s="221"/>
      <c r="U3136" s="221"/>
      <c r="V3136" s="221"/>
      <c r="W3136" s="221"/>
    </row>
    <row r="3137" spans="1:23" s="33" customFormat="1" ht="15" customHeight="1" thickBot="1">
      <c r="A3137" s="2"/>
      <c r="B3137" s="2" t="s">
        <v>2318</v>
      </c>
      <c r="C3137" s="3">
        <v>81</v>
      </c>
      <c r="D3137" s="335" t="str">
        <f>+D3157</f>
        <v>*** FUND 81 REVENUES OVER(UNDER) EXPENSES ***</v>
      </c>
      <c r="E3137" s="336"/>
      <c r="F3137" s="336">
        <f>+F3157</f>
        <v>0</v>
      </c>
      <c r="G3137" s="336">
        <f>+G3157</f>
        <v>-2765</v>
      </c>
      <c r="H3137" s="336">
        <f t="shared" ref="H3137:N3137" si="338">+H3157</f>
        <v>727</v>
      </c>
      <c r="I3137" s="336">
        <f t="shared" si="338"/>
        <v>73</v>
      </c>
      <c r="J3137" s="336">
        <f t="shared" si="338"/>
        <v>1979</v>
      </c>
      <c r="K3137" s="336">
        <f t="shared" si="338"/>
        <v>0</v>
      </c>
      <c r="L3137" s="336">
        <f t="shared" si="338"/>
        <v>-7092</v>
      </c>
      <c r="M3137" s="336">
        <f t="shared" si="338"/>
        <v>-4602</v>
      </c>
      <c r="N3137" s="336">
        <f t="shared" si="338"/>
        <v>-300</v>
      </c>
      <c r="O3137" s="301"/>
      <c r="P3137" s="214">
        <v>2596</v>
      </c>
      <c r="Q3137" s="215">
        <v>81</v>
      </c>
      <c r="R3137" s="216" t="s">
        <v>2619</v>
      </c>
      <c r="S3137" s="217"/>
      <c r="T3137" s="218">
        <v>0</v>
      </c>
      <c r="U3137" s="218">
        <v>523.1</v>
      </c>
      <c r="V3137" s="219">
        <v>-6568.53</v>
      </c>
      <c r="W3137" s="219">
        <v>0</v>
      </c>
    </row>
    <row r="3138" spans="1:23" s="46" customFormat="1" ht="15" customHeight="1" thickTop="1">
      <c r="A3138" s="5"/>
      <c r="B3138" s="5"/>
      <c r="C3138" s="3">
        <v>81</v>
      </c>
      <c r="D3138" s="58"/>
      <c r="E3138" s="56"/>
      <c r="F3138" s="56"/>
      <c r="G3138" s="56"/>
      <c r="H3138" s="56"/>
      <c r="I3138" s="56"/>
      <c r="J3138" s="56"/>
      <c r="K3138" s="56"/>
      <c r="L3138" s="56"/>
      <c r="M3138" s="56"/>
      <c r="N3138" s="56"/>
      <c r="O3138" s="289"/>
      <c r="P3138" s="221"/>
      <c r="Q3138" s="221"/>
      <c r="R3138" s="221"/>
      <c r="S3138" s="221"/>
      <c r="T3138" s="221"/>
      <c r="U3138" s="221"/>
      <c r="V3138" s="221"/>
      <c r="W3138" s="221"/>
    </row>
    <row r="3139" spans="1:23" ht="15" customHeight="1">
      <c r="C3139" s="3">
        <v>81</v>
      </c>
      <c r="D3139" s="54" t="s">
        <v>2875</v>
      </c>
      <c r="E3139" s="54"/>
      <c r="F3139" s="192"/>
      <c r="G3139" s="55"/>
      <c r="H3139" s="55"/>
      <c r="I3139" s="55"/>
      <c r="J3139" s="55"/>
      <c r="K3139" s="55">
        <f>+K3123+K3129-K3135</f>
        <v>9000</v>
      </c>
      <c r="L3139" s="55"/>
      <c r="M3139" s="55">
        <f>+M3123+M3129-M3135</f>
        <v>4398</v>
      </c>
      <c r="N3139" s="55">
        <f>+N3123+N3129-N3135</f>
        <v>4098</v>
      </c>
      <c r="O3139" s="253"/>
      <c r="P3139" s="203"/>
      <c r="Q3139" s="204"/>
      <c r="R3139" s="205"/>
      <c r="S3139" s="206"/>
      <c r="T3139" s="207"/>
      <c r="U3139" s="207"/>
      <c r="V3139" s="208"/>
      <c r="W3139" s="212"/>
    </row>
    <row r="3140" spans="1:23" s="46" customFormat="1" ht="15" customHeight="1">
      <c r="A3140" s="195"/>
      <c r="B3140" s="195"/>
      <c r="C3140" s="3">
        <v>81</v>
      </c>
      <c r="D3140" s="58"/>
      <c r="E3140" s="56"/>
      <c r="F3140" s="56"/>
      <c r="G3140" s="56"/>
      <c r="H3140" s="56"/>
      <c r="I3140" s="56"/>
      <c r="J3140" s="56"/>
      <c r="K3140" s="56"/>
      <c r="L3140" s="56"/>
      <c r="M3140" s="26"/>
      <c r="N3140" s="26"/>
      <c r="O3140" s="289"/>
      <c r="P3140" s="221"/>
      <c r="Q3140" s="221"/>
      <c r="R3140" s="221"/>
      <c r="S3140" s="221"/>
      <c r="T3140" s="221"/>
      <c r="U3140" s="221"/>
      <c r="V3140" s="221"/>
      <c r="W3140" s="221"/>
    </row>
    <row r="3141" spans="1:23" ht="15" customHeight="1">
      <c r="C3141" s="3">
        <v>81</v>
      </c>
      <c r="D3141" s="15">
        <v>4330.1009999999997</v>
      </c>
      <c r="E3141" s="312" t="s">
        <v>1669</v>
      </c>
      <c r="G3141" s="26">
        <v>0</v>
      </c>
      <c r="H3141" s="26">
        <v>0</v>
      </c>
      <c r="I3141" s="26">
        <v>174</v>
      </c>
      <c r="J3141" s="26">
        <v>76</v>
      </c>
      <c r="K3141" s="26">
        <v>50</v>
      </c>
      <c r="L3141" s="26">
        <v>55</v>
      </c>
      <c r="M3141" s="26">
        <v>100</v>
      </c>
      <c r="N3141" s="26">
        <v>100</v>
      </c>
      <c r="O3141" s="285"/>
      <c r="P3141" s="214">
        <v>2597</v>
      </c>
      <c r="Q3141" s="215">
        <v>81</v>
      </c>
      <c r="R3141" s="216">
        <v>4330.1009999999997</v>
      </c>
      <c r="S3141" s="217" t="s">
        <v>1669</v>
      </c>
      <c r="T3141" s="218">
        <v>50</v>
      </c>
      <c r="U3141" s="218">
        <v>10.59</v>
      </c>
      <c r="V3141" s="219">
        <v>65.349999999999994</v>
      </c>
      <c r="W3141" s="219">
        <v>130.69999999999999</v>
      </c>
    </row>
    <row r="3142" spans="1:23" ht="15" customHeight="1">
      <c r="C3142" s="3">
        <v>81</v>
      </c>
      <c r="D3142" s="15">
        <v>4355.1009999999997</v>
      </c>
      <c r="E3142" s="312" t="s">
        <v>1915</v>
      </c>
      <c r="G3142" s="26">
        <v>6684</v>
      </c>
      <c r="H3142" s="26">
        <v>6158</v>
      </c>
      <c r="I3142" s="26">
        <v>6079</v>
      </c>
      <c r="J3142" s="26">
        <v>6416</v>
      </c>
      <c r="K3142" s="26">
        <v>5500</v>
      </c>
      <c r="L3142" s="26">
        <v>3655</v>
      </c>
      <c r="M3142" s="26">
        <v>6100</v>
      </c>
      <c r="N3142" s="26">
        <v>6100</v>
      </c>
      <c r="O3142" s="285"/>
      <c r="P3142" s="214">
        <v>2598</v>
      </c>
      <c r="Q3142" s="215">
        <v>81</v>
      </c>
      <c r="R3142" s="216">
        <v>4355.1009999999997</v>
      </c>
      <c r="S3142" s="217" t="s">
        <v>1915</v>
      </c>
      <c r="T3142" s="218">
        <v>5500</v>
      </c>
      <c r="U3142" s="218">
        <v>512.51</v>
      </c>
      <c r="V3142" s="219">
        <v>4167.75</v>
      </c>
      <c r="W3142" s="219">
        <v>75.78</v>
      </c>
    </row>
    <row r="3143" spans="1:23" ht="15" customHeight="1">
      <c r="C3143" s="3">
        <v>81</v>
      </c>
      <c r="D3143" s="15">
        <v>4690</v>
      </c>
      <c r="E3143" s="312" t="s">
        <v>63</v>
      </c>
      <c r="G3143" s="26">
        <v>0</v>
      </c>
      <c r="H3143" s="26">
        <v>0</v>
      </c>
      <c r="I3143" s="26">
        <v>0</v>
      </c>
      <c r="J3143" s="26">
        <v>0</v>
      </c>
      <c r="K3143" s="26">
        <v>0</v>
      </c>
      <c r="L3143" s="26">
        <v>0</v>
      </c>
      <c r="M3143" s="26">
        <v>0</v>
      </c>
      <c r="N3143" s="26">
        <v>0</v>
      </c>
      <c r="O3143" s="285"/>
      <c r="P3143" s="214">
        <v>2599</v>
      </c>
      <c r="Q3143" s="215">
        <v>81</v>
      </c>
      <c r="R3143" s="216">
        <v>4690</v>
      </c>
      <c r="S3143" s="217" t="s">
        <v>63</v>
      </c>
      <c r="T3143" s="218">
        <v>0</v>
      </c>
      <c r="U3143" s="218">
        <v>0</v>
      </c>
      <c r="V3143" s="219">
        <v>0</v>
      </c>
      <c r="W3143" s="219">
        <v>0</v>
      </c>
    </row>
    <row r="3144" spans="1:23" ht="15" customHeight="1">
      <c r="C3144" s="3">
        <v>81</v>
      </c>
      <c r="E3144" s="14"/>
      <c r="G3144" s="26"/>
      <c r="H3144" s="26"/>
      <c r="I3144" s="26"/>
      <c r="J3144" s="26"/>
      <c r="K3144" s="26"/>
      <c r="L3144" s="26"/>
      <c r="M3144" s="26"/>
      <c r="N3144" s="26"/>
      <c r="P3144" s="222"/>
      <c r="Q3144" s="222"/>
      <c r="R3144" s="222"/>
      <c r="S3144" s="223"/>
      <c r="T3144" s="223"/>
      <c r="U3144" s="223"/>
      <c r="V3144" s="224"/>
      <c r="W3144" s="224"/>
    </row>
    <row r="3145" spans="1:23" s="27" customFormat="1" ht="15" customHeight="1" thickBot="1">
      <c r="A3145" s="2"/>
      <c r="B3145" s="2" t="s">
        <v>2317</v>
      </c>
      <c r="C3145" s="3">
        <v>81</v>
      </c>
      <c r="D3145" s="68" t="s">
        <v>2304</v>
      </c>
      <c r="E3145" s="68"/>
      <c r="F3145" s="320"/>
      <c r="G3145" s="69">
        <f>SUM(G3140:G3144)</f>
        <v>6684</v>
      </c>
      <c r="H3145" s="69">
        <f t="shared" ref="H3145:N3145" si="339">SUM(H3140:H3144)</f>
        <v>6158</v>
      </c>
      <c r="I3145" s="69">
        <f t="shared" si="339"/>
        <v>6253</v>
      </c>
      <c r="J3145" s="69">
        <f t="shared" si="339"/>
        <v>6492</v>
      </c>
      <c r="K3145" s="69">
        <f t="shared" si="339"/>
        <v>5550</v>
      </c>
      <c r="L3145" s="69">
        <f t="shared" si="339"/>
        <v>3710</v>
      </c>
      <c r="M3145" s="69">
        <f t="shared" si="339"/>
        <v>6200</v>
      </c>
      <c r="N3145" s="69">
        <f t="shared" si="339"/>
        <v>6200</v>
      </c>
      <c r="O3145" s="281"/>
      <c r="P3145" s="214">
        <v>2600</v>
      </c>
      <c r="Q3145" s="215">
        <v>81</v>
      </c>
      <c r="R3145" s="216" t="s">
        <v>2620</v>
      </c>
      <c r="S3145" s="217"/>
      <c r="T3145" s="218">
        <v>5550</v>
      </c>
      <c r="U3145" s="218">
        <v>523.1</v>
      </c>
      <c r="V3145" s="219">
        <v>4233.1000000000004</v>
      </c>
      <c r="W3145" s="219">
        <v>76.27</v>
      </c>
    </row>
    <row r="3146" spans="1:23" s="46" customFormat="1" ht="15" customHeight="1" thickTop="1">
      <c r="A3146" s="5"/>
      <c r="B3146" s="5"/>
      <c r="C3146" s="3">
        <v>81</v>
      </c>
      <c r="D3146" s="47"/>
      <c r="E3146" s="47"/>
      <c r="F3146" s="191"/>
      <c r="G3146" s="56"/>
      <c r="H3146" s="56"/>
      <c r="I3146" s="56"/>
      <c r="J3146" s="56"/>
      <c r="K3146" s="56"/>
      <c r="L3146" s="56"/>
      <c r="M3146" s="56"/>
      <c r="N3146" s="56"/>
      <c r="O3146" s="289"/>
      <c r="P3146" s="221"/>
      <c r="Q3146" s="221"/>
      <c r="R3146" s="221"/>
      <c r="S3146" s="221"/>
      <c r="T3146" s="221"/>
      <c r="U3146" s="221"/>
      <c r="V3146" s="221"/>
      <c r="W3146" s="221"/>
    </row>
    <row r="3147" spans="1:23" ht="15" customHeight="1">
      <c r="C3147" s="3">
        <v>81</v>
      </c>
      <c r="D3147" s="47" t="s">
        <v>1972</v>
      </c>
      <c r="G3147" s="26"/>
      <c r="H3147" s="26"/>
      <c r="I3147" s="26"/>
      <c r="J3147" s="26"/>
      <c r="K3147" s="26"/>
      <c r="L3147" s="26"/>
      <c r="M3147" s="26"/>
      <c r="N3147" s="26"/>
      <c r="P3147" s="214">
        <v>2601</v>
      </c>
      <c r="Q3147" s="215">
        <v>81</v>
      </c>
      <c r="R3147" s="216" t="s">
        <v>104</v>
      </c>
      <c r="S3147" s="217"/>
      <c r="T3147" s="218"/>
      <c r="U3147" s="218"/>
      <c r="V3147" s="219"/>
      <c r="W3147" s="219"/>
    </row>
    <row r="3148" spans="1:23" ht="15" customHeight="1">
      <c r="C3148" s="3">
        <v>81</v>
      </c>
      <c r="G3148" s="26"/>
      <c r="H3148" s="26"/>
      <c r="I3148" s="26"/>
      <c r="J3148" s="26"/>
      <c r="K3148" s="26"/>
      <c r="L3148" s="26"/>
      <c r="M3148" s="26"/>
      <c r="N3148" s="26"/>
      <c r="P3148" s="214">
        <v>2602</v>
      </c>
      <c r="Q3148" s="215">
        <v>81</v>
      </c>
      <c r="R3148" s="216" t="s">
        <v>2624</v>
      </c>
      <c r="S3148" s="217"/>
      <c r="T3148" s="218"/>
      <c r="U3148" s="218"/>
      <c r="V3148" s="219"/>
      <c r="W3148" s="219"/>
    </row>
    <row r="3149" spans="1:23" ht="15" customHeight="1">
      <c r="C3149" s="3">
        <v>81</v>
      </c>
      <c r="D3149" s="15" t="s">
        <v>1916</v>
      </c>
      <c r="E3149" s="312" t="s">
        <v>1917</v>
      </c>
      <c r="G3149" s="26">
        <v>9449</v>
      </c>
      <c r="H3149" s="26">
        <v>5431</v>
      </c>
      <c r="I3149" s="26">
        <v>6180</v>
      </c>
      <c r="J3149" s="26">
        <v>4513</v>
      </c>
      <c r="K3149" s="26">
        <v>5550</v>
      </c>
      <c r="L3149" s="26">
        <v>10802</v>
      </c>
      <c r="M3149" s="26">
        <v>10802</v>
      </c>
      <c r="N3149" s="26">
        <v>6500</v>
      </c>
      <c r="O3149" s="285"/>
      <c r="P3149" s="214">
        <v>2603</v>
      </c>
      <c r="Q3149" s="215">
        <v>81</v>
      </c>
      <c r="R3149" s="216" t="s">
        <v>1916</v>
      </c>
      <c r="S3149" s="217" t="s">
        <v>1917</v>
      </c>
      <c r="T3149" s="218">
        <v>5550</v>
      </c>
      <c r="U3149" s="218">
        <v>0</v>
      </c>
      <c r="V3149" s="219">
        <v>10801.63</v>
      </c>
      <c r="W3149" s="219">
        <v>194.62</v>
      </c>
    </row>
    <row r="3150" spans="1:23" ht="15" customHeight="1">
      <c r="C3150" s="3">
        <v>81</v>
      </c>
      <c r="G3150" s="26"/>
      <c r="H3150" s="26"/>
      <c r="I3150" s="26"/>
      <c r="J3150" s="26"/>
      <c r="K3150" s="26"/>
      <c r="L3150" s="26"/>
      <c r="M3150" s="26"/>
      <c r="N3150" s="26"/>
      <c r="P3150" s="214">
        <v>2604</v>
      </c>
      <c r="Q3150" s="215">
        <v>81</v>
      </c>
      <c r="R3150" s="216" t="s">
        <v>2623</v>
      </c>
      <c r="S3150" s="217"/>
      <c r="T3150" s="218"/>
      <c r="U3150" s="218"/>
      <c r="V3150" s="219"/>
      <c r="W3150" s="219"/>
    </row>
    <row r="3151" spans="1:23" s="200" customFormat="1" ht="15" customHeight="1">
      <c r="A3151" s="196" t="s">
        <v>104</v>
      </c>
      <c r="B3151" s="196" t="s">
        <v>2317</v>
      </c>
      <c r="C3151" s="75">
        <v>81</v>
      </c>
      <c r="D3151" s="323" t="s">
        <v>1969</v>
      </c>
      <c r="E3151" s="323"/>
      <c r="F3151" s="324"/>
      <c r="G3151" s="325">
        <f>SUM(G3147:G3150)</f>
        <v>9449</v>
      </c>
      <c r="H3151" s="325">
        <f t="shared" ref="H3151:N3151" si="340">SUM(H3147:H3150)</f>
        <v>5431</v>
      </c>
      <c r="I3151" s="325">
        <f t="shared" si="340"/>
        <v>6180</v>
      </c>
      <c r="J3151" s="325">
        <f t="shared" si="340"/>
        <v>4513</v>
      </c>
      <c r="K3151" s="325">
        <f t="shared" si="340"/>
        <v>5550</v>
      </c>
      <c r="L3151" s="325">
        <f t="shared" si="340"/>
        <v>10802</v>
      </c>
      <c r="M3151" s="325">
        <f t="shared" si="340"/>
        <v>10802</v>
      </c>
      <c r="N3151" s="325">
        <f t="shared" si="340"/>
        <v>6500</v>
      </c>
      <c r="O3151" s="287"/>
      <c r="P3151" s="214">
        <v>2605</v>
      </c>
      <c r="Q3151" s="215">
        <v>81</v>
      </c>
      <c r="R3151" s="216" t="s">
        <v>104</v>
      </c>
      <c r="S3151" s="217"/>
      <c r="T3151" s="218">
        <v>5550</v>
      </c>
      <c r="U3151" s="218">
        <v>0</v>
      </c>
      <c r="V3151" s="219">
        <v>10801.63</v>
      </c>
      <c r="W3151" s="219">
        <v>0</v>
      </c>
    </row>
    <row r="3152" spans="1:23" ht="15" customHeight="1">
      <c r="C3152" s="3">
        <v>81</v>
      </c>
      <c r="G3152" s="26"/>
      <c r="H3152" s="26"/>
      <c r="I3152" s="26"/>
      <c r="J3152" s="26"/>
      <c r="K3152" s="26"/>
      <c r="L3152" s="26"/>
      <c r="M3152" s="26"/>
      <c r="N3152" s="26"/>
      <c r="P3152" s="214">
        <v>2606</v>
      </c>
      <c r="Q3152" s="215">
        <v>81</v>
      </c>
      <c r="R3152" s="216" t="s">
        <v>2623</v>
      </c>
      <c r="S3152" s="217"/>
      <c r="T3152" s="218"/>
      <c r="U3152" s="218"/>
      <c r="V3152" s="219"/>
      <c r="W3152" s="219"/>
    </row>
    <row r="3153" spans="1:23" ht="15" customHeight="1">
      <c r="B3153" s="2" t="s">
        <v>2317</v>
      </c>
      <c r="C3153" s="3">
        <v>81</v>
      </c>
      <c r="D3153" s="47" t="s">
        <v>1667</v>
      </c>
      <c r="G3153" s="26">
        <f>SUM(G3151:G3152)</f>
        <v>9449</v>
      </c>
      <c r="H3153" s="26">
        <f t="shared" ref="H3153:N3153" si="341">SUM(H3151:H3152)</f>
        <v>5431</v>
      </c>
      <c r="I3153" s="26">
        <f t="shared" si="341"/>
        <v>6180</v>
      </c>
      <c r="J3153" s="26">
        <f t="shared" si="341"/>
        <v>4513</v>
      </c>
      <c r="K3153" s="26">
        <f t="shared" si="341"/>
        <v>5550</v>
      </c>
      <c r="L3153" s="26">
        <f t="shared" si="341"/>
        <v>10802</v>
      </c>
      <c r="M3153" s="26">
        <f t="shared" si="341"/>
        <v>10802</v>
      </c>
      <c r="N3153" s="26">
        <f t="shared" si="341"/>
        <v>6500</v>
      </c>
      <c r="P3153" s="214">
        <v>2607</v>
      </c>
      <c r="Q3153" s="215">
        <v>81</v>
      </c>
      <c r="R3153" s="216" t="s">
        <v>1667</v>
      </c>
      <c r="S3153" s="217"/>
      <c r="T3153" s="218">
        <v>5550</v>
      </c>
      <c r="U3153" s="218">
        <v>0</v>
      </c>
      <c r="V3153" s="219">
        <v>10801.63</v>
      </c>
      <c r="W3153" s="219">
        <v>194.62</v>
      </c>
    </row>
    <row r="3154" spans="1:23" ht="15" customHeight="1">
      <c r="C3154" s="3">
        <v>81</v>
      </c>
      <c r="D3154" s="47"/>
      <c r="G3154" s="26"/>
      <c r="H3154" s="26"/>
      <c r="I3154" s="26"/>
      <c r="J3154" s="26"/>
      <c r="K3154" s="26"/>
      <c r="L3154" s="26"/>
      <c r="M3154" s="26"/>
      <c r="N3154" s="26"/>
      <c r="P3154" s="222"/>
      <c r="Q3154" s="222"/>
      <c r="R3154" s="222"/>
      <c r="S3154" s="223"/>
      <c r="T3154" s="223"/>
      <c r="U3154" s="223"/>
      <c r="V3154" s="224"/>
      <c r="W3154" s="224"/>
    </row>
    <row r="3155" spans="1:23" s="31" customFormat="1" ht="15" customHeight="1">
      <c r="A3155" s="2"/>
      <c r="B3155" s="2" t="s">
        <v>2317</v>
      </c>
      <c r="C3155" s="3">
        <v>81</v>
      </c>
      <c r="D3155" s="54" t="s">
        <v>2281</v>
      </c>
      <c r="E3155" s="54"/>
      <c r="F3155" s="192"/>
      <c r="G3155" s="339">
        <f>SUM(G3153:G3154)</f>
        <v>9449</v>
      </c>
      <c r="H3155" s="339">
        <f t="shared" ref="H3155:N3155" si="342">SUM(H3153:H3154)</f>
        <v>5431</v>
      </c>
      <c r="I3155" s="339">
        <f t="shared" si="342"/>
        <v>6180</v>
      </c>
      <c r="J3155" s="339">
        <f t="shared" si="342"/>
        <v>4513</v>
      </c>
      <c r="K3155" s="339">
        <f t="shared" si="342"/>
        <v>5550</v>
      </c>
      <c r="L3155" s="339">
        <f t="shared" si="342"/>
        <v>10802</v>
      </c>
      <c r="M3155" s="339">
        <f t="shared" si="342"/>
        <v>10802</v>
      </c>
      <c r="N3155" s="339">
        <f t="shared" si="342"/>
        <v>6500</v>
      </c>
      <c r="O3155" s="305"/>
      <c r="P3155" s="214">
        <v>2608</v>
      </c>
      <c r="Q3155" s="215">
        <v>81</v>
      </c>
      <c r="R3155" s="216" t="s">
        <v>2618</v>
      </c>
      <c r="S3155" s="217"/>
      <c r="T3155" s="218">
        <v>5550</v>
      </c>
      <c r="U3155" s="218">
        <v>0</v>
      </c>
      <c r="V3155" s="219">
        <v>10801.63</v>
      </c>
      <c r="W3155" s="219">
        <v>194.62</v>
      </c>
    </row>
    <row r="3156" spans="1:23" s="46" customFormat="1" ht="15" customHeight="1">
      <c r="A3156" s="5"/>
      <c r="B3156" s="5"/>
      <c r="C3156" s="3">
        <v>81</v>
      </c>
      <c r="D3156" s="47"/>
      <c r="E3156" s="47"/>
      <c r="F3156" s="191"/>
      <c r="G3156" s="56"/>
      <c r="H3156" s="56"/>
      <c r="I3156" s="56"/>
      <c r="J3156" s="56"/>
      <c r="K3156" s="56"/>
      <c r="L3156" s="56"/>
      <c r="M3156" s="56"/>
      <c r="N3156" s="56"/>
      <c r="O3156" s="289"/>
      <c r="P3156" s="221"/>
      <c r="Q3156" s="221"/>
      <c r="R3156" s="221"/>
      <c r="S3156" s="221"/>
      <c r="T3156" s="221"/>
      <c r="U3156" s="221"/>
      <c r="V3156" s="221"/>
      <c r="W3156" s="221"/>
    </row>
    <row r="3157" spans="1:23" s="33" customFormat="1" ht="15" customHeight="1" thickBot="1">
      <c r="A3157" s="2"/>
      <c r="B3157" s="2" t="s">
        <v>2317</v>
      </c>
      <c r="C3157" s="3">
        <v>81</v>
      </c>
      <c r="D3157" s="329" t="s">
        <v>2256</v>
      </c>
      <c r="E3157" s="329"/>
      <c r="F3157" s="330"/>
      <c r="G3157" s="336">
        <f>+G3145-G3155</f>
        <v>-2765</v>
      </c>
      <c r="H3157" s="336">
        <f t="shared" ref="H3157:N3157" si="343">+H3145-H3155</f>
        <v>727</v>
      </c>
      <c r="I3157" s="336">
        <f t="shared" si="343"/>
        <v>73</v>
      </c>
      <c r="J3157" s="336">
        <f t="shared" si="343"/>
        <v>1979</v>
      </c>
      <c r="K3157" s="336">
        <f t="shared" si="343"/>
        <v>0</v>
      </c>
      <c r="L3157" s="336">
        <f t="shared" si="343"/>
        <v>-7092</v>
      </c>
      <c r="M3157" s="336">
        <f t="shared" si="343"/>
        <v>-4602</v>
      </c>
      <c r="N3157" s="336">
        <f t="shared" si="343"/>
        <v>-300</v>
      </c>
      <c r="O3157" s="301"/>
      <c r="P3157" s="214">
        <v>2609</v>
      </c>
      <c r="Q3157" s="215">
        <v>81</v>
      </c>
      <c r="R3157" s="216" t="s">
        <v>2619</v>
      </c>
      <c r="S3157" s="217"/>
      <c r="T3157" s="218">
        <v>0</v>
      </c>
      <c r="U3157" s="218">
        <v>523.1</v>
      </c>
      <c r="V3157" s="219">
        <v>-6568.53</v>
      </c>
      <c r="W3157" s="219">
        <v>0</v>
      </c>
    </row>
    <row r="3158" spans="1:23" s="46" customFormat="1" ht="15" customHeight="1" thickTop="1">
      <c r="A3158" s="5"/>
      <c r="B3158" s="5"/>
      <c r="C3158" s="3">
        <v>81</v>
      </c>
      <c r="D3158" s="47"/>
      <c r="E3158" s="47"/>
      <c r="F3158" s="191"/>
      <c r="G3158" s="56"/>
      <c r="H3158" s="56"/>
      <c r="I3158" s="56"/>
      <c r="J3158" s="56"/>
      <c r="K3158" s="56"/>
      <c r="L3158" s="56"/>
      <c r="M3158" s="56"/>
      <c r="N3158" s="56"/>
      <c r="O3158" s="289"/>
      <c r="P3158" s="221"/>
      <c r="Q3158" s="221"/>
      <c r="R3158" s="221"/>
      <c r="S3158" s="221"/>
      <c r="T3158" s="221"/>
      <c r="U3158" s="221"/>
      <c r="V3158" s="221"/>
      <c r="W3158" s="221"/>
    </row>
    <row r="3159" spans="1:23" ht="15" customHeight="1">
      <c r="C3159" s="3">
        <v>81</v>
      </c>
      <c r="D3159" s="54" t="s">
        <v>2875</v>
      </c>
      <c r="E3159" s="54"/>
      <c r="F3159" s="192"/>
      <c r="G3159" s="55"/>
      <c r="H3159" s="55"/>
      <c r="I3159" s="55"/>
      <c r="J3159" s="55"/>
      <c r="K3159" s="55">
        <f>+K3139</f>
        <v>9000</v>
      </c>
      <c r="L3159" s="55"/>
      <c r="M3159" s="55">
        <f>+M3139</f>
        <v>4398</v>
      </c>
      <c r="N3159" s="55">
        <f>+N3139</f>
        <v>4098</v>
      </c>
      <c r="O3159" s="253"/>
      <c r="P3159" s="203"/>
      <c r="Q3159" s="204"/>
      <c r="R3159" s="205"/>
      <c r="S3159" s="206"/>
      <c r="T3159" s="207"/>
      <c r="U3159" s="207"/>
      <c r="V3159" s="208"/>
      <c r="W3159" s="212"/>
    </row>
    <row r="3160" spans="1:23" s="46" customFormat="1" ht="15" customHeight="1">
      <c r="A3160" s="195"/>
      <c r="B3160" s="195"/>
      <c r="C3160" s="3">
        <v>81</v>
      </c>
      <c r="D3160" s="47"/>
      <c r="E3160" s="47"/>
      <c r="F3160" s="191"/>
      <c r="G3160" s="56"/>
      <c r="H3160" s="56"/>
      <c r="I3160" s="56"/>
      <c r="J3160" s="56"/>
      <c r="K3160" s="56"/>
      <c r="L3160" s="56"/>
      <c r="M3160" s="56"/>
      <c r="N3160" s="56"/>
      <c r="O3160" s="289"/>
      <c r="P3160" s="221"/>
      <c r="Q3160" s="221"/>
      <c r="R3160" s="221"/>
      <c r="S3160" s="221"/>
      <c r="T3160" s="221"/>
      <c r="U3160" s="221"/>
      <c r="V3160" s="221"/>
      <c r="W3160" s="221"/>
    </row>
    <row r="3161" spans="1:23" s="35" customFormat="1" ht="15" customHeight="1">
      <c r="A3161" s="2"/>
      <c r="B3161" s="2"/>
      <c r="C3161" s="3">
        <v>81</v>
      </c>
      <c r="D3161" s="47" t="s">
        <v>1976</v>
      </c>
      <c r="E3161" s="47"/>
      <c r="F3161" s="191"/>
      <c r="G3161" s="48"/>
      <c r="H3161" s="48"/>
      <c r="I3161" s="48"/>
      <c r="J3161" s="48"/>
      <c r="K3161" s="48"/>
      <c r="L3161" s="48"/>
      <c r="M3161" s="48"/>
      <c r="N3161" s="48"/>
      <c r="O3161" s="276"/>
      <c r="P3161" s="214">
        <v>2610</v>
      </c>
      <c r="Q3161" s="215">
        <v>81</v>
      </c>
      <c r="R3161" s="216" t="s">
        <v>2630</v>
      </c>
      <c r="S3161" s="217"/>
      <c r="T3161" s="218"/>
      <c r="U3161" s="218"/>
      <c r="V3161" s="219"/>
      <c r="W3161" s="219"/>
    </row>
    <row r="3162" spans="1:23" s="35" customFormat="1" ht="15" customHeight="1">
      <c r="A3162" s="2"/>
      <c r="B3162" s="2"/>
      <c r="C3162" s="3"/>
      <c r="D3162" s="47"/>
      <c r="E3162" s="47"/>
      <c r="F3162" s="191"/>
      <c r="G3162" s="48"/>
      <c r="H3162" s="48"/>
      <c r="I3162" s="48"/>
      <c r="J3162" s="48"/>
      <c r="K3162" s="48"/>
      <c r="L3162" s="48"/>
      <c r="M3162" s="48"/>
      <c r="N3162" s="48"/>
      <c r="O3162" s="276"/>
    </row>
    <row r="3163" spans="1:23" s="35" customFormat="1" ht="15" customHeight="1">
      <c r="A3163" s="2"/>
      <c r="B3163" s="2"/>
      <c r="C3163" s="3"/>
      <c r="D3163" s="47"/>
      <c r="E3163" s="47"/>
      <c r="F3163" s="191"/>
      <c r="G3163" s="48"/>
      <c r="H3163" s="48"/>
      <c r="I3163" s="48"/>
      <c r="J3163" s="48"/>
      <c r="K3163" s="48"/>
      <c r="L3163" s="48"/>
      <c r="M3163" s="48"/>
      <c r="N3163" s="48"/>
      <c r="O3163" s="276"/>
    </row>
    <row r="3164" spans="1:23" s="35" customFormat="1" ht="15" customHeight="1">
      <c r="A3164" s="2"/>
      <c r="B3164" s="2"/>
      <c r="C3164" s="3"/>
      <c r="D3164" s="47"/>
      <c r="E3164" s="47"/>
      <c r="F3164" s="191"/>
      <c r="G3164" s="48"/>
      <c r="H3164" s="48"/>
      <c r="I3164" s="48"/>
      <c r="J3164" s="48"/>
      <c r="K3164" s="48"/>
      <c r="L3164" s="48"/>
      <c r="M3164" s="48"/>
      <c r="N3164" s="48"/>
      <c r="O3164" s="276"/>
    </row>
    <row r="3165" spans="1:23" s="35" customFormat="1" ht="15" customHeight="1">
      <c r="A3165" s="2"/>
      <c r="B3165" s="2"/>
      <c r="C3165" s="3">
        <v>82</v>
      </c>
      <c r="D3165" s="47" t="s">
        <v>2394</v>
      </c>
      <c r="E3165" s="47"/>
      <c r="F3165" s="191"/>
      <c r="G3165" s="48"/>
      <c r="H3165" s="48"/>
      <c r="I3165" s="48"/>
      <c r="J3165" s="48"/>
      <c r="K3165" s="48"/>
      <c r="L3165" s="48"/>
      <c r="M3165" s="48"/>
      <c r="N3165" s="48"/>
      <c r="O3165" s="276"/>
    </row>
    <row r="3166" spans="1:23" s="35" customFormat="1" ht="15" customHeight="1">
      <c r="A3166" s="2"/>
      <c r="B3166" s="2"/>
      <c r="C3166" s="3">
        <v>82</v>
      </c>
      <c r="D3166" s="47"/>
      <c r="E3166" s="47"/>
      <c r="F3166" s="191"/>
      <c r="G3166" s="48"/>
      <c r="H3166" s="48"/>
      <c r="I3166" s="48"/>
      <c r="J3166" s="48"/>
      <c r="K3166" s="48"/>
      <c r="L3166" s="48"/>
      <c r="M3166" s="48"/>
      <c r="N3166" s="48"/>
      <c r="O3166" s="276"/>
    </row>
    <row r="3167" spans="1:23" ht="15" customHeight="1">
      <c r="C3167" s="3">
        <v>82</v>
      </c>
      <c r="D3167" s="54" t="s">
        <v>2874</v>
      </c>
      <c r="E3167" s="54"/>
      <c r="F3167" s="192"/>
      <c r="G3167" s="55"/>
      <c r="H3167" s="55"/>
      <c r="I3167" s="55"/>
      <c r="J3167" s="55"/>
      <c r="K3167" s="55">
        <v>5000</v>
      </c>
      <c r="L3167" s="55"/>
      <c r="M3167" s="55">
        <v>5000</v>
      </c>
      <c r="N3167" s="55">
        <f>+M3183</f>
        <v>4810</v>
      </c>
      <c r="O3167" s="278" t="s">
        <v>3057</v>
      </c>
      <c r="P3167" s="203"/>
      <c r="Q3167" s="204"/>
      <c r="R3167" s="205"/>
      <c r="S3167" s="206"/>
      <c r="T3167" s="207"/>
      <c r="U3167" s="207"/>
      <c r="V3167" s="208"/>
      <c r="W3167" s="212"/>
    </row>
    <row r="3168" spans="1:23" s="35" customFormat="1" ht="15" customHeight="1">
      <c r="A3168" s="2"/>
      <c r="B3168" s="2"/>
      <c r="C3168" s="3">
        <v>82</v>
      </c>
      <c r="D3168" s="47"/>
      <c r="E3168" s="47"/>
      <c r="F3168" s="191"/>
      <c r="G3168" s="48"/>
      <c r="H3168" s="48"/>
      <c r="I3168" s="48"/>
      <c r="J3168" s="48"/>
      <c r="K3168" s="48"/>
      <c r="L3168" s="48"/>
      <c r="M3168" s="48"/>
      <c r="N3168" s="48"/>
      <c r="O3168" s="276"/>
    </row>
    <row r="3169" spans="1:23" ht="15" customHeight="1">
      <c r="C3169" s="3">
        <v>82</v>
      </c>
      <c r="D3169" s="47" t="s">
        <v>2231</v>
      </c>
      <c r="G3169" s="26"/>
      <c r="H3169" s="26"/>
      <c r="I3169" s="26"/>
      <c r="J3169" s="26"/>
      <c r="K3169" s="26"/>
      <c r="L3169" s="26"/>
      <c r="M3169" s="26"/>
      <c r="N3169" s="26"/>
      <c r="P3169" s="214">
        <v>2611</v>
      </c>
      <c r="Q3169" s="215">
        <v>82</v>
      </c>
      <c r="R3169" s="216" t="s">
        <v>2610</v>
      </c>
      <c r="S3169" s="217"/>
      <c r="T3169" s="218"/>
      <c r="U3169" s="218"/>
      <c r="V3169" s="219"/>
      <c r="W3169" s="219"/>
    </row>
    <row r="3170" spans="1:23" ht="15" customHeight="1">
      <c r="C3170" s="3">
        <v>82</v>
      </c>
      <c r="G3170" s="26"/>
      <c r="H3170" s="26"/>
      <c r="I3170" s="26"/>
      <c r="J3170" s="26"/>
      <c r="K3170" s="26"/>
      <c r="L3170" s="26"/>
      <c r="M3170" s="26"/>
      <c r="N3170" s="26"/>
      <c r="P3170" s="214">
        <v>2612</v>
      </c>
      <c r="Q3170" s="215">
        <v>82</v>
      </c>
      <c r="R3170" s="216" t="s">
        <v>2611</v>
      </c>
      <c r="S3170" s="217"/>
      <c r="T3170" s="218"/>
      <c r="U3170" s="218"/>
      <c r="V3170" s="219"/>
      <c r="W3170" s="219"/>
    </row>
    <row r="3171" spans="1:23" s="21" customFormat="1" ht="15" customHeight="1">
      <c r="A3171" s="2"/>
      <c r="B3171" s="2" t="s">
        <v>2318</v>
      </c>
      <c r="C3171" s="3">
        <v>82</v>
      </c>
      <c r="D3171" s="54" t="s">
        <v>2207</v>
      </c>
      <c r="E3171" s="54"/>
      <c r="F3171" s="192"/>
      <c r="G3171" s="55">
        <f>+G3173</f>
        <v>4651</v>
      </c>
      <c r="H3171" s="55">
        <f t="shared" ref="H3171:N3171" si="344">+H3173</f>
        <v>9582</v>
      </c>
      <c r="I3171" s="55">
        <f t="shared" si="344"/>
        <v>995</v>
      </c>
      <c r="J3171" s="55">
        <f t="shared" si="344"/>
        <v>148</v>
      </c>
      <c r="K3171" s="55">
        <f t="shared" si="344"/>
        <v>6100</v>
      </c>
      <c r="L3171" s="55">
        <f t="shared" si="344"/>
        <v>30</v>
      </c>
      <c r="M3171" s="55">
        <f t="shared" si="344"/>
        <v>60</v>
      </c>
      <c r="N3171" s="55">
        <f t="shared" si="344"/>
        <v>6060</v>
      </c>
      <c r="O3171" s="279"/>
      <c r="P3171" s="214">
        <v>2613</v>
      </c>
      <c r="Q3171" s="215">
        <v>82</v>
      </c>
      <c r="R3171" s="216" t="s">
        <v>2612</v>
      </c>
      <c r="S3171" s="217"/>
      <c r="T3171" s="218">
        <v>6100</v>
      </c>
      <c r="U3171" s="218">
        <v>4.79</v>
      </c>
      <c r="V3171" s="219">
        <v>35.11</v>
      </c>
      <c r="W3171" s="219">
        <v>0.57999999999999996</v>
      </c>
    </row>
    <row r="3172" spans="1:23" s="57" customFormat="1" ht="15" customHeight="1">
      <c r="A3172" s="5"/>
      <c r="B3172" s="5"/>
      <c r="C3172" s="3">
        <v>82</v>
      </c>
      <c r="D3172" s="54"/>
      <c r="E3172" s="54"/>
      <c r="F3172" s="192"/>
      <c r="G3172" s="55"/>
      <c r="H3172" s="55"/>
      <c r="I3172" s="55"/>
      <c r="J3172" s="55"/>
      <c r="K3172" s="55"/>
      <c r="L3172" s="55"/>
      <c r="M3172" s="55"/>
      <c r="N3172" s="55"/>
      <c r="O3172" s="302"/>
      <c r="P3172" s="220"/>
      <c r="Q3172" s="220"/>
      <c r="R3172" s="220"/>
      <c r="S3172" s="220"/>
      <c r="T3172" s="220"/>
      <c r="U3172" s="220"/>
      <c r="V3172" s="220"/>
      <c r="W3172" s="220"/>
    </row>
    <row r="3173" spans="1:23" s="27" customFormat="1" ht="15" customHeight="1" thickBot="1">
      <c r="A3173" s="2"/>
      <c r="B3173" s="2" t="s">
        <v>2318</v>
      </c>
      <c r="C3173" s="3">
        <v>82</v>
      </c>
      <c r="D3173" s="68" t="str">
        <f>+D3188</f>
        <v>*** TOTAL FUND 82 REVENUES ***</v>
      </c>
      <c r="E3173" s="68"/>
      <c r="F3173" s="68">
        <f>+F3188</f>
        <v>0</v>
      </c>
      <c r="G3173" s="69">
        <f>+G3188</f>
        <v>4651</v>
      </c>
      <c r="H3173" s="69">
        <f t="shared" ref="H3173:N3173" si="345">+H3188</f>
        <v>9582</v>
      </c>
      <c r="I3173" s="69">
        <f t="shared" si="345"/>
        <v>995</v>
      </c>
      <c r="J3173" s="69">
        <f t="shared" si="345"/>
        <v>148</v>
      </c>
      <c r="K3173" s="69">
        <f t="shared" si="345"/>
        <v>6100</v>
      </c>
      <c r="L3173" s="69">
        <f t="shared" si="345"/>
        <v>30</v>
      </c>
      <c r="M3173" s="69">
        <f t="shared" si="345"/>
        <v>60</v>
      </c>
      <c r="N3173" s="69">
        <f t="shared" si="345"/>
        <v>6060</v>
      </c>
      <c r="O3173" s="281"/>
      <c r="P3173" s="214">
        <v>2614</v>
      </c>
      <c r="Q3173" s="215">
        <v>82</v>
      </c>
      <c r="R3173" s="216" t="s">
        <v>2613</v>
      </c>
      <c r="S3173" s="217"/>
      <c r="T3173" s="218">
        <v>6100</v>
      </c>
      <c r="U3173" s="218">
        <v>4.79</v>
      </c>
      <c r="V3173" s="219">
        <v>35.11</v>
      </c>
      <c r="W3173" s="219">
        <v>0.57999999999999996</v>
      </c>
    </row>
    <row r="3174" spans="1:23" s="46" customFormat="1" ht="15" customHeight="1" thickTop="1">
      <c r="A3174" s="5"/>
      <c r="B3174" s="5"/>
      <c r="C3174" s="3">
        <v>82</v>
      </c>
      <c r="D3174" s="47"/>
      <c r="E3174" s="47"/>
      <c r="F3174" s="47"/>
      <c r="G3174" s="56"/>
      <c r="H3174" s="56"/>
      <c r="I3174" s="56"/>
      <c r="J3174" s="56"/>
      <c r="K3174" s="56"/>
      <c r="L3174" s="56"/>
      <c r="M3174" s="56"/>
      <c r="N3174" s="56"/>
      <c r="O3174" s="289"/>
      <c r="P3174" s="221"/>
      <c r="Q3174" s="221"/>
      <c r="R3174" s="221"/>
      <c r="S3174" s="221"/>
      <c r="T3174" s="221"/>
      <c r="U3174" s="221"/>
      <c r="V3174" s="221"/>
      <c r="W3174" s="221"/>
    </row>
    <row r="3175" spans="1:23" ht="15" customHeight="1">
      <c r="C3175" s="3">
        <v>82</v>
      </c>
      <c r="D3175" s="47" t="s">
        <v>1977</v>
      </c>
      <c r="G3175" s="26"/>
      <c r="H3175" s="26"/>
      <c r="I3175" s="26"/>
      <c r="J3175" s="26"/>
      <c r="K3175" s="26"/>
      <c r="L3175" s="26"/>
      <c r="M3175" s="26"/>
      <c r="N3175" s="26"/>
      <c r="P3175" s="214">
        <v>2615</v>
      </c>
      <c r="Q3175" s="215">
        <v>82</v>
      </c>
      <c r="R3175" s="216" t="s">
        <v>2614</v>
      </c>
      <c r="S3175" s="217"/>
      <c r="T3175" s="218"/>
      <c r="U3175" s="218"/>
      <c r="V3175" s="219"/>
      <c r="W3175" s="219"/>
    </row>
    <row r="3176" spans="1:23" ht="15" customHeight="1">
      <c r="C3176" s="3">
        <v>82</v>
      </c>
      <c r="G3176" s="26"/>
      <c r="H3176" s="26"/>
      <c r="I3176" s="26"/>
      <c r="J3176" s="26"/>
      <c r="K3176" s="26"/>
      <c r="L3176" s="26"/>
      <c r="M3176" s="26"/>
      <c r="N3176" s="26"/>
      <c r="P3176" s="214">
        <v>2616</v>
      </c>
      <c r="Q3176" s="215">
        <v>82</v>
      </c>
      <c r="R3176" s="216" t="s">
        <v>2615</v>
      </c>
      <c r="S3176" s="217"/>
      <c r="T3176" s="218"/>
      <c r="U3176" s="218"/>
      <c r="V3176" s="219"/>
      <c r="W3176" s="219"/>
    </row>
    <row r="3177" spans="1:23" ht="15" customHeight="1">
      <c r="B3177" s="2" t="s">
        <v>2318</v>
      </c>
      <c r="C3177" s="3">
        <v>82</v>
      </c>
      <c r="D3177" s="47" t="s">
        <v>1667</v>
      </c>
      <c r="G3177" s="26">
        <f>+G3196</f>
        <v>-2949</v>
      </c>
      <c r="H3177" s="26">
        <f t="shared" ref="H3177:N3177" si="346">+H3196</f>
        <v>5655</v>
      </c>
      <c r="I3177" s="26">
        <f t="shared" si="346"/>
        <v>6026</v>
      </c>
      <c r="J3177" s="26">
        <f t="shared" si="346"/>
        <v>3310</v>
      </c>
      <c r="K3177" s="26">
        <f t="shared" si="346"/>
        <v>6000</v>
      </c>
      <c r="L3177" s="26">
        <f t="shared" si="346"/>
        <v>250</v>
      </c>
      <c r="M3177" s="26">
        <f t="shared" si="346"/>
        <v>250</v>
      </c>
      <c r="N3177" s="26">
        <f t="shared" si="346"/>
        <v>6000</v>
      </c>
      <c r="P3177" s="214">
        <v>2617</v>
      </c>
      <c r="Q3177" s="215">
        <v>82</v>
      </c>
      <c r="R3177" s="216" t="s">
        <v>1667</v>
      </c>
      <c r="S3177" s="217"/>
      <c r="T3177" s="218">
        <v>6000</v>
      </c>
      <c r="U3177" s="218">
        <v>0</v>
      </c>
      <c r="V3177" s="219">
        <v>250</v>
      </c>
      <c r="W3177" s="219">
        <v>4.17</v>
      </c>
    </row>
    <row r="3178" spans="1:23" ht="15" customHeight="1">
      <c r="C3178" s="3">
        <v>82</v>
      </c>
      <c r="D3178" s="47"/>
      <c r="G3178" s="26"/>
      <c r="H3178" s="26"/>
      <c r="I3178" s="26"/>
      <c r="J3178" s="26"/>
      <c r="K3178" s="26"/>
      <c r="L3178" s="26"/>
      <c r="M3178" s="26"/>
      <c r="N3178" s="26"/>
      <c r="P3178" s="222"/>
      <c r="Q3178" s="222"/>
      <c r="R3178" s="222"/>
      <c r="S3178" s="223"/>
      <c r="T3178" s="223"/>
      <c r="U3178" s="223"/>
      <c r="V3178" s="224"/>
      <c r="W3178" s="224"/>
    </row>
    <row r="3179" spans="1:23" s="37" customFormat="1" ht="15" customHeight="1">
      <c r="A3179" s="2"/>
      <c r="B3179" s="2" t="s">
        <v>2318</v>
      </c>
      <c r="C3179" s="3">
        <v>82</v>
      </c>
      <c r="D3179" s="54" t="str">
        <f>+D3198</f>
        <v>*** TOTAL FUND 82 EXPENSES ***</v>
      </c>
      <c r="E3179" s="54"/>
      <c r="F3179" s="54">
        <f t="shared" ref="F3179:N3179" si="347">+F3198</f>
        <v>0</v>
      </c>
      <c r="G3179" s="339">
        <f t="shared" si="347"/>
        <v>-2949</v>
      </c>
      <c r="H3179" s="339">
        <f t="shared" si="347"/>
        <v>5655</v>
      </c>
      <c r="I3179" s="339">
        <f t="shared" si="347"/>
        <v>6026</v>
      </c>
      <c r="J3179" s="339">
        <f t="shared" si="347"/>
        <v>3310</v>
      </c>
      <c r="K3179" s="339">
        <f t="shared" si="347"/>
        <v>6000</v>
      </c>
      <c r="L3179" s="339">
        <f t="shared" si="347"/>
        <v>250</v>
      </c>
      <c r="M3179" s="339">
        <f t="shared" si="347"/>
        <v>250</v>
      </c>
      <c r="N3179" s="339">
        <f t="shared" si="347"/>
        <v>6000</v>
      </c>
      <c r="O3179" s="303"/>
      <c r="P3179" s="214">
        <v>2618</v>
      </c>
      <c r="Q3179" s="215">
        <v>82</v>
      </c>
      <c r="R3179" s="216" t="s">
        <v>2618</v>
      </c>
      <c r="S3179" s="217"/>
      <c r="T3179" s="218">
        <v>6000</v>
      </c>
      <c r="U3179" s="218">
        <v>0</v>
      </c>
      <c r="V3179" s="219">
        <v>250</v>
      </c>
      <c r="W3179" s="219">
        <v>4.17</v>
      </c>
    </row>
    <row r="3180" spans="1:23" s="46" customFormat="1" ht="15" customHeight="1">
      <c r="A3180" s="5"/>
      <c r="B3180" s="5"/>
      <c r="C3180" s="3">
        <v>82</v>
      </c>
      <c r="D3180" s="47"/>
      <c r="E3180" s="47"/>
      <c r="F3180" s="47"/>
      <c r="G3180" s="56"/>
      <c r="H3180" s="56"/>
      <c r="I3180" s="56"/>
      <c r="J3180" s="56"/>
      <c r="K3180" s="56"/>
      <c r="L3180" s="56"/>
      <c r="M3180" s="56"/>
      <c r="N3180" s="56"/>
      <c r="O3180" s="289"/>
      <c r="P3180" s="221"/>
      <c r="Q3180" s="221"/>
      <c r="R3180" s="221"/>
      <c r="S3180" s="221"/>
      <c r="T3180" s="221"/>
      <c r="U3180" s="221"/>
      <c r="V3180" s="221"/>
      <c r="W3180" s="221"/>
    </row>
    <row r="3181" spans="1:23" s="33" customFormat="1" ht="15" customHeight="1" thickBot="1">
      <c r="A3181" s="2"/>
      <c r="B3181" s="2" t="s">
        <v>2318</v>
      </c>
      <c r="C3181" s="3">
        <v>82</v>
      </c>
      <c r="D3181" s="335" t="str">
        <f>+D3200</f>
        <v>*** FUND 82 REVENUES OVER(UNDER) EXPENSES ***</v>
      </c>
      <c r="E3181" s="336"/>
      <c r="F3181" s="336">
        <f>+F3200</f>
        <v>0</v>
      </c>
      <c r="G3181" s="336">
        <f>+G3200</f>
        <v>7600</v>
      </c>
      <c r="H3181" s="336">
        <f t="shared" ref="H3181:N3181" si="348">+H3200</f>
        <v>3927</v>
      </c>
      <c r="I3181" s="336">
        <f t="shared" si="348"/>
        <v>-5031</v>
      </c>
      <c r="J3181" s="336">
        <f t="shared" si="348"/>
        <v>-3162</v>
      </c>
      <c r="K3181" s="336">
        <f t="shared" si="348"/>
        <v>100</v>
      </c>
      <c r="L3181" s="336">
        <f t="shared" si="348"/>
        <v>-220</v>
      </c>
      <c r="M3181" s="336">
        <f t="shared" si="348"/>
        <v>-190</v>
      </c>
      <c r="N3181" s="336">
        <f t="shared" si="348"/>
        <v>60</v>
      </c>
      <c r="O3181" s="301"/>
      <c r="P3181" s="214">
        <v>2619</v>
      </c>
      <c r="Q3181" s="215">
        <v>82</v>
      </c>
      <c r="R3181" s="216" t="s">
        <v>2619</v>
      </c>
      <c r="S3181" s="217"/>
      <c r="T3181" s="218">
        <v>100</v>
      </c>
      <c r="U3181" s="218">
        <v>4.79</v>
      </c>
      <c r="V3181" s="219">
        <v>-214.89</v>
      </c>
      <c r="W3181" s="219">
        <v>-214.89</v>
      </c>
    </row>
    <row r="3182" spans="1:23" s="46" customFormat="1" ht="15" customHeight="1" thickTop="1">
      <c r="A3182" s="5"/>
      <c r="B3182" s="5"/>
      <c r="C3182" s="3">
        <v>82</v>
      </c>
      <c r="D3182" s="58"/>
      <c r="E3182" s="56"/>
      <c r="F3182" s="56"/>
      <c r="G3182" s="56"/>
      <c r="H3182" s="56"/>
      <c r="I3182" s="56"/>
      <c r="J3182" s="56"/>
      <c r="K3182" s="56"/>
      <c r="L3182" s="56"/>
      <c r="M3182" s="56"/>
      <c r="N3182" s="56"/>
      <c r="O3182" s="289"/>
      <c r="P3182" s="221"/>
      <c r="Q3182" s="221"/>
      <c r="R3182" s="221"/>
      <c r="S3182" s="221"/>
      <c r="T3182" s="221"/>
      <c r="U3182" s="221"/>
      <c r="V3182" s="221"/>
      <c r="W3182" s="221"/>
    </row>
    <row r="3183" spans="1:23" ht="15" customHeight="1">
      <c r="C3183" s="3">
        <v>82</v>
      </c>
      <c r="D3183" s="54" t="s">
        <v>2875</v>
      </c>
      <c r="E3183" s="54"/>
      <c r="F3183" s="192"/>
      <c r="G3183" s="55"/>
      <c r="H3183" s="55"/>
      <c r="I3183" s="55"/>
      <c r="J3183" s="55"/>
      <c r="K3183" s="55">
        <f>+K3167+K3173-K3179</f>
        <v>5100</v>
      </c>
      <c r="L3183" s="55"/>
      <c r="M3183" s="55">
        <f>+M3167+M3173-M3179</f>
        <v>4810</v>
      </c>
      <c r="N3183" s="55">
        <f>+N3167+N3173-N3179</f>
        <v>4870</v>
      </c>
      <c r="O3183" s="253"/>
      <c r="P3183" s="203"/>
      <c r="Q3183" s="204"/>
      <c r="R3183" s="205"/>
      <c r="S3183" s="206"/>
      <c r="T3183" s="207"/>
      <c r="U3183" s="207"/>
      <c r="V3183" s="208"/>
      <c r="W3183" s="212"/>
    </row>
    <row r="3184" spans="1:23" s="46" customFormat="1" ht="15" customHeight="1">
      <c r="A3184" s="195"/>
      <c r="B3184" s="195"/>
      <c r="C3184" s="3">
        <v>82</v>
      </c>
      <c r="D3184" s="58"/>
      <c r="E3184" s="56"/>
      <c r="F3184" s="56"/>
      <c r="G3184" s="56"/>
      <c r="H3184" s="56"/>
      <c r="I3184" s="56"/>
      <c r="J3184" s="56"/>
      <c r="K3184" s="56"/>
      <c r="L3184" s="56"/>
      <c r="M3184" s="26"/>
      <c r="N3184" s="26"/>
      <c r="O3184" s="289"/>
      <c r="P3184" s="221"/>
      <c r="Q3184" s="221"/>
      <c r="R3184" s="221"/>
      <c r="S3184" s="221"/>
      <c r="T3184" s="221"/>
      <c r="U3184" s="221"/>
      <c r="V3184" s="221"/>
      <c r="W3184" s="221"/>
    </row>
    <row r="3185" spans="1:23" ht="15" customHeight="1">
      <c r="C3185" s="3">
        <v>82</v>
      </c>
      <c r="D3185" s="15">
        <v>4330.1019999999999</v>
      </c>
      <c r="E3185" s="312" t="s">
        <v>1669</v>
      </c>
      <c r="G3185" s="26">
        <v>0</v>
      </c>
      <c r="H3185" s="26">
        <v>0</v>
      </c>
      <c r="I3185" s="26">
        <v>280</v>
      </c>
      <c r="J3185" s="26">
        <v>59</v>
      </c>
      <c r="K3185" s="26">
        <v>100</v>
      </c>
      <c r="L3185" s="26">
        <v>30</v>
      </c>
      <c r="M3185" s="26">
        <v>60</v>
      </c>
      <c r="N3185" s="26">
        <v>60</v>
      </c>
      <c r="O3185" s="285"/>
      <c r="P3185" s="214">
        <v>2620</v>
      </c>
      <c r="Q3185" s="215">
        <v>82</v>
      </c>
      <c r="R3185" s="216">
        <v>4330.1019999999999</v>
      </c>
      <c r="S3185" s="217" t="s">
        <v>1669</v>
      </c>
      <c r="T3185" s="218">
        <v>100</v>
      </c>
      <c r="U3185" s="218">
        <v>4.79</v>
      </c>
      <c r="V3185" s="219">
        <v>35.11</v>
      </c>
      <c r="W3185" s="219">
        <v>35.11</v>
      </c>
    </row>
    <row r="3186" spans="1:23" ht="15" customHeight="1">
      <c r="C3186" s="3">
        <v>82</v>
      </c>
      <c r="D3186" s="15">
        <v>4355.1019999999999</v>
      </c>
      <c r="E3186" s="312" t="s">
        <v>1918</v>
      </c>
      <c r="G3186" s="26">
        <v>4651</v>
      </c>
      <c r="H3186" s="26">
        <v>9582</v>
      </c>
      <c r="I3186" s="26">
        <v>715</v>
      </c>
      <c r="J3186" s="26">
        <v>89</v>
      </c>
      <c r="K3186" s="26">
        <v>6000</v>
      </c>
      <c r="L3186" s="26">
        <v>0</v>
      </c>
      <c r="M3186" s="26">
        <v>0</v>
      </c>
      <c r="N3186" s="26">
        <v>6000</v>
      </c>
      <c r="O3186" s="285"/>
      <c r="P3186" s="214">
        <v>2621</v>
      </c>
      <c r="Q3186" s="215">
        <v>82</v>
      </c>
      <c r="R3186" s="216">
        <v>4355.1019999999999</v>
      </c>
      <c r="S3186" s="217" t="s">
        <v>1918</v>
      </c>
      <c r="T3186" s="218">
        <v>6000</v>
      </c>
      <c r="U3186" s="218">
        <v>0</v>
      </c>
      <c r="V3186" s="219">
        <v>0</v>
      </c>
      <c r="W3186" s="219">
        <v>0</v>
      </c>
    </row>
    <row r="3187" spans="1:23" ht="15" customHeight="1">
      <c r="C3187" s="3">
        <v>82</v>
      </c>
      <c r="E3187" s="14"/>
      <c r="G3187" s="26"/>
      <c r="H3187" s="26"/>
      <c r="I3187" s="26"/>
      <c r="J3187" s="26"/>
      <c r="K3187" s="26"/>
      <c r="L3187" s="26"/>
      <c r="M3187" s="26"/>
      <c r="N3187" s="26"/>
      <c r="P3187" s="222"/>
      <c r="Q3187" s="222"/>
      <c r="R3187" s="222"/>
      <c r="S3187" s="223"/>
      <c r="T3187" s="223"/>
      <c r="U3187" s="223"/>
      <c r="V3187" s="224"/>
      <c r="W3187" s="224"/>
    </row>
    <row r="3188" spans="1:23" s="27" customFormat="1" ht="15" customHeight="1" thickBot="1">
      <c r="A3188" s="2"/>
      <c r="B3188" s="2" t="s">
        <v>2317</v>
      </c>
      <c r="C3188" s="3">
        <v>82</v>
      </c>
      <c r="D3188" s="68" t="s">
        <v>2305</v>
      </c>
      <c r="E3188" s="68"/>
      <c r="F3188" s="320"/>
      <c r="G3188" s="69">
        <f>SUM(G3184:G3187)</f>
        <v>4651</v>
      </c>
      <c r="H3188" s="69">
        <f t="shared" ref="H3188:N3188" si="349">SUM(H3184:H3187)</f>
        <v>9582</v>
      </c>
      <c r="I3188" s="69">
        <f t="shared" si="349"/>
        <v>995</v>
      </c>
      <c r="J3188" s="69">
        <f t="shared" si="349"/>
        <v>148</v>
      </c>
      <c r="K3188" s="69">
        <f t="shared" si="349"/>
        <v>6100</v>
      </c>
      <c r="L3188" s="69">
        <f t="shared" si="349"/>
        <v>30</v>
      </c>
      <c r="M3188" s="69">
        <f t="shared" si="349"/>
        <v>60</v>
      </c>
      <c r="N3188" s="69">
        <f t="shared" si="349"/>
        <v>6060</v>
      </c>
      <c r="O3188" s="281"/>
      <c r="P3188" s="214">
        <v>2622</v>
      </c>
      <c r="Q3188" s="215">
        <v>82</v>
      </c>
      <c r="R3188" s="216" t="s">
        <v>2620</v>
      </c>
      <c r="S3188" s="217"/>
      <c r="T3188" s="218">
        <v>6100</v>
      </c>
      <c r="U3188" s="218">
        <v>4.79</v>
      </c>
      <c r="V3188" s="219">
        <v>35.11</v>
      </c>
      <c r="W3188" s="219">
        <v>0.57999999999999996</v>
      </c>
    </row>
    <row r="3189" spans="1:23" s="46" customFormat="1" ht="15" customHeight="1" thickTop="1">
      <c r="A3189" s="5"/>
      <c r="B3189" s="5"/>
      <c r="C3189" s="3">
        <v>82</v>
      </c>
      <c r="D3189" s="47"/>
      <c r="E3189" s="47"/>
      <c r="F3189" s="191"/>
      <c r="G3189" s="56"/>
      <c r="H3189" s="56"/>
      <c r="I3189" s="56"/>
      <c r="J3189" s="56"/>
      <c r="K3189" s="56"/>
      <c r="L3189" s="56"/>
      <c r="M3189" s="56"/>
      <c r="N3189" s="56"/>
      <c r="O3189" s="289"/>
      <c r="P3189" s="221"/>
      <c r="Q3189" s="221"/>
      <c r="R3189" s="221"/>
      <c r="S3189" s="221"/>
      <c r="T3189" s="221"/>
      <c r="U3189" s="221"/>
      <c r="V3189" s="221"/>
      <c r="W3189" s="221"/>
    </row>
    <row r="3190" spans="1:23" ht="15" customHeight="1">
      <c r="C3190" s="3">
        <v>82</v>
      </c>
      <c r="D3190" s="47" t="s">
        <v>1972</v>
      </c>
      <c r="G3190" s="26"/>
      <c r="H3190" s="26"/>
      <c r="I3190" s="26"/>
      <c r="J3190" s="26"/>
      <c r="K3190" s="26"/>
      <c r="L3190" s="26"/>
      <c r="M3190" s="26"/>
      <c r="N3190" s="26"/>
      <c r="P3190" s="214">
        <v>2623</v>
      </c>
      <c r="Q3190" s="215">
        <v>82</v>
      </c>
      <c r="R3190" s="216" t="s">
        <v>104</v>
      </c>
      <c r="S3190" s="217"/>
      <c r="T3190" s="218"/>
      <c r="U3190" s="218"/>
      <c r="V3190" s="219"/>
      <c r="W3190" s="219"/>
    </row>
    <row r="3191" spans="1:23" ht="15" customHeight="1">
      <c r="C3191" s="3">
        <v>82</v>
      </c>
      <c r="G3191" s="26"/>
      <c r="H3191" s="26"/>
      <c r="I3191" s="26"/>
      <c r="J3191" s="26"/>
      <c r="K3191" s="26"/>
      <c r="L3191" s="26"/>
      <c r="M3191" s="26"/>
      <c r="N3191" s="26"/>
      <c r="P3191" s="214">
        <v>2624</v>
      </c>
      <c r="Q3191" s="215">
        <v>82</v>
      </c>
      <c r="R3191" s="216" t="s">
        <v>2624</v>
      </c>
      <c r="S3191" s="217"/>
      <c r="T3191" s="218"/>
      <c r="U3191" s="218"/>
      <c r="V3191" s="219"/>
      <c r="W3191" s="219"/>
    </row>
    <row r="3192" spans="1:23" ht="15" customHeight="1">
      <c r="C3192" s="3">
        <v>82</v>
      </c>
      <c r="D3192" s="15" t="s">
        <v>1919</v>
      </c>
      <c r="E3192" s="312" t="s">
        <v>1920</v>
      </c>
      <c r="G3192" s="26">
        <v>-2949</v>
      </c>
      <c r="H3192" s="26">
        <v>5655</v>
      </c>
      <c r="I3192" s="26">
        <v>6026</v>
      </c>
      <c r="J3192" s="26">
        <v>3310</v>
      </c>
      <c r="K3192" s="26">
        <v>6000</v>
      </c>
      <c r="L3192" s="26">
        <v>250</v>
      </c>
      <c r="M3192" s="26">
        <v>250</v>
      </c>
      <c r="N3192" s="26">
        <v>6000</v>
      </c>
      <c r="O3192" s="285"/>
      <c r="P3192" s="214">
        <v>2625</v>
      </c>
      <c r="Q3192" s="215">
        <v>82</v>
      </c>
      <c r="R3192" s="216" t="s">
        <v>1919</v>
      </c>
      <c r="S3192" s="217" t="s">
        <v>1920</v>
      </c>
      <c r="T3192" s="218">
        <v>6000</v>
      </c>
      <c r="U3192" s="218">
        <v>0</v>
      </c>
      <c r="V3192" s="219">
        <v>250</v>
      </c>
      <c r="W3192" s="219">
        <v>4.17</v>
      </c>
    </row>
    <row r="3193" spans="1:23" ht="15" customHeight="1">
      <c r="C3193" s="3">
        <v>82</v>
      </c>
      <c r="G3193" s="26"/>
      <c r="H3193" s="26"/>
      <c r="I3193" s="26"/>
      <c r="J3193" s="26"/>
      <c r="K3193" s="26"/>
      <c r="L3193" s="26"/>
      <c r="M3193" s="26"/>
      <c r="N3193" s="26"/>
      <c r="P3193" s="214">
        <v>2626</v>
      </c>
      <c r="Q3193" s="215">
        <v>82</v>
      </c>
      <c r="R3193" s="216" t="s">
        <v>2623</v>
      </c>
      <c r="S3193" s="217"/>
      <c r="T3193" s="218"/>
      <c r="U3193" s="218"/>
      <c r="V3193" s="219"/>
      <c r="W3193" s="219"/>
    </row>
    <row r="3194" spans="1:23" s="200" customFormat="1" ht="15" customHeight="1">
      <c r="A3194" s="196" t="s">
        <v>104</v>
      </c>
      <c r="B3194" s="196" t="s">
        <v>2317</v>
      </c>
      <c r="C3194" s="75">
        <v>82</v>
      </c>
      <c r="D3194" s="323" t="s">
        <v>1969</v>
      </c>
      <c r="E3194" s="323"/>
      <c r="F3194" s="324"/>
      <c r="G3194" s="325">
        <f>SUM(G3190:G3193)</f>
        <v>-2949</v>
      </c>
      <c r="H3194" s="325">
        <f t="shared" ref="H3194:N3194" si="350">SUM(H3190:H3193)</f>
        <v>5655</v>
      </c>
      <c r="I3194" s="325">
        <f t="shared" si="350"/>
        <v>6026</v>
      </c>
      <c r="J3194" s="325">
        <f t="shared" si="350"/>
        <v>3310</v>
      </c>
      <c r="K3194" s="325">
        <f t="shared" si="350"/>
        <v>6000</v>
      </c>
      <c r="L3194" s="325">
        <f t="shared" si="350"/>
        <v>250</v>
      </c>
      <c r="M3194" s="325">
        <f t="shared" si="350"/>
        <v>250</v>
      </c>
      <c r="N3194" s="325">
        <f t="shared" si="350"/>
        <v>6000</v>
      </c>
      <c r="O3194" s="287"/>
      <c r="P3194" s="214">
        <v>2627</v>
      </c>
      <c r="Q3194" s="215">
        <v>82</v>
      </c>
      <c r="R3194" s="216" t="s">
        <v>104</v>
      </c>
      <c r="S3194" s="217"/>
      <c r="T3194" s="218">
        <v>6000</v>
      </c>
      <c r="U3194" s="218">
        <v>0</v>
      </c>
      <c r="V3194" s="219">
        <v>250</v>
      </c>
      <c r="W3194" s="219">
        <v>0</v>
      </c>
    </row>
    <row r="3195" spans="1:23" ht="15" customHeight="1">
      <c r="C3195" s="3">
        <v>82</v>
      </c>
      <c r="G3195" s="26"/>
      <c r="H3195" s="26"/>
      <c r="I3195" s="26"/>
      <c r="J3195" s="26"/>
      <c r="K3195" s="26"/>
      <c r="L3195" s="26"/>
      <c r="M3195" s="26"/>
      <c r="N3195" s="26"/>
      <c r="P3195" s="214">
        <v>2628</v>
      </c>
      <c r="Q3195" s="215">
        <v>82</v>
      </c>
      <c r="R3195" s="216" t="s">
        <v>2623</v>
      </c>
      <c r="S3195" s="217"/>
      <c r="T3195" s="218"/>
      <c r="U3195" s="218"/>
      <c r="V3195" s="219"/>
      <c r="W3195" s="219"/>
    </row>
    <row r="3196" spans="1:23" ht="15" customHeight="1">
      <c r="B3196" s="2" t="s">
        <v>2317</v>
      </c>
      <c r="C3196" s="3">
        <v>82</v>
      </c>
      <c r="D3196" s="47" t="s">
        <v>1667</v>
      </c>
      <c r="G3196" s="26">
        <f>SUM(G3194:G3195)</f>
        <v>-2949</v>
      </c>
      <c r="H3196" s="26">
        <f t="shared" ref="H3196:N3196" si="351">SUM(H3194:H3195)</f>
        <v>5655</v>
      </c>
      <c r="I3196" s="26">
        <f t="shared" si="351"/>
        <v>6026</v>
      </c>
      <c r="J3196" s="26">
        <f t="shared" si="351"/>
        <v>3310</v>
      </c>
      <c r="K3196" s="26">
        <f t="shared" si="351"/>
        <v>6000</v>
      </c>
      <c r="L3196" s="26">
        <f t="shared" si="351"/>
        <v>250</v>
      </c>
      <c r="M3196" s="26">
        <f t="shared" si="351"/>
        <v>250</v>
      </c>
      <c r="N3196" s="26">
        <f t="shared" si="351"/>
        <v>6000</v>
      </c>
      <c r="P3196" s="214">
        <v>2629</v>
      </c>
      <c r="Q3196" s="215">
        <v>82</v>
      </c>
      <c r="R3196" s="216" t="s">
        <v>1667</v>
      </c>
      <c r="S3196" s="217"/>
      <c r="T3196" s="218">
        <v>6000</v>
      </c>
      <c r="U3196" s="218">
        <v>0</v>
      </c>
      <c r="V3196" s="219">
        <v>250</v>
      </c>
      <c r="W3196" s="219">
        <v>4.17</v>
      </c>
    </row>
    <row r="3197" spans="1:23" ht="15" customHeight="1">
      <c r="C3197" s="3">
        <v>82</v>
      </c>
      <c r="D3197" s="47"/>
      <c r="G3197" s="26"/>
      <c r="H3197" s="26"/>
      <c r="I3197" s="26"/>
      <c r="J3197" s="26"/>
      <c r="K3197" s="26"/>
      <c r="L3197" s="26"/>
      <c r="M3197" s="26"/>
      <c r="N3197" s="26"/>
      <c r="P3197" s="222"/>
      <c r="Q3197" s="222"/>
      <c r="R3197" s="222"/>
      <c r="S3197" s="223"/>
      <c r="T3197" s="223"/>
      <c r="U3197" s="223"/>
      <c r="V3197" s="224"/>
      <c r="W3197" s="224"/>
    </row>
    <row r="3198" spans="1:23" s="31" customFormat="1" ht="15" customHeight="1">
      <c r="A3198" s="2"/>
      <c r="B3198" s="2" t="s">
        <v>2317</v>
      </c>
      <c r="C3198" s="3">
        <v>82</v>
      </c>
      <c r="D3198" s="54" t="s">
        <v>2282</v>
      </c>
      <c r="E3198" s="54"/>
      <c r="F3198" s="192"/>
      <c r="G3198" s="339">
        <f>SUM(G3196:G3197)</f>
        <v>-2949</v>
      </c>
      <c r="H3198" s="339">
        <f t="shared" ref="H3198:N3198" si="352">SUM(H3196:H3197)</f>
        <v>5655</v>
      </c>
      <c r="I3198" s="339">
        <f t="shared" si="352"/>
        <v>6026</v>
      </c>
      <c r="J3198" s="339">
        <f t="shared" si="352"/>
        <v>3310</v>
      </c>
      <c r="K3198" s="339">
        <f t="shared" si="352"/>
        <v>6000</v>
      </c>
      <c r="L3198" s="339">
        <f t="shared" si="352"/>
        <v>250</v>
      </c>
      <c r="M3198" s="339">
        <f t="shared" si="352"/>
        <v>250</v>
      </c>
      <c r="N3198" s="339">
        <f t="shared" si="352"/>
        <v>6000</v>
      </c>
      <c r="O3198" s="305"/>
      <c r="P3198" s="214">
        <v>2630</v>
      </c>
      <c r="Q3198" s="215">
        <v>82</v>
      </c>
      <c r="R3198" s="216" t="s">
        <v>2618</v>
      </c>
      <c r="S3198" s="217"/>
      <c r="T3198" s="218">
        <v>6000</v>
      </c>
      <c r="U3198" s="218">
        <v>0</v>
      </c>
      <c r="V3198" s="219">
        <v>250</v>
      </c>
      <c r="W3198" s="219">
        <v>4.17</v>
      </c>
    </row>
    <row r="3199" spans="1:23" s="46" customFormat="1" ht="15" customHeight="1">
      <c r="A3199" s="5"/>
      <c r="B3199" s="5"/>
      <c r="C3199" s="3">
        <v>82</v>
      </c>
      <c r="D3199" s="47"/>
      <c r="E3199" s="47"/>
      <c r="F3199" s="191"/>
      <c r="G3199" s="56"/>
      <c r="H3199" s="56"/>
      <c r="I3199" s="56"/>
      <c r="J3199" s="56"/>
      <c r="K3199" s="56"/>
      <c r="L3199" s="56"/>
      <c r="M3199" s="56"/>
      <c r="N3199" s="56"/>
      <c r="O3199" s="289"/>
      <c r="P3199" s="221"/>
      <c r="Q3199" s="221"/>
      <c r="R3199" s="221"/>
      <c r="S3199" s="221"/>
      <c r="T3199" s="221"/>
      <c r="U3199" s="221"/>
      <c r="V3199" s="221"/>
      <c r="W3199" s="221"/>
    </row>
    <row r="3200" spans="1:23" s="33" customFormat="1" ht="15" customHeight="1" thickBot="1">
      <c r="A3200" s="2"/>
      <c r="B3200" s="2" t="s">
        <v>2317</v>
      </c>
      <c r="C3200" s="3">
        <v>82</v>
      </c>
      <c r="D3200" s="329" t="s">
        <v>2257</v>
      </c>
      <c r="E3200" s="329"/>
      <c r="F3200" s="330"/>
      <c r="G3200" s="336">
        <f>+G3188-G3198</f>
        <v>7600</v>
      </c>
      <c r="H3200" s="336">
        <f t="shared" ref="H3200:N3200" si="353">+H3188-H3198</f>
        <v>3927</v>
      </c>
      <c r="I3200" s="336">
        <f t="shared" si="353"/>
        <v>-5031</v>
      </c>
      <c r="J3200" s="336">
        <f t="shared" si="353"/>
        <v>-3162</v>
      </c>
      <c r="K3200" s="336">
        <f t="shared" si="353"/>
        <v>100</v>
      </c>
      <c r="L3200" s="336">
        <f t="shared" si="353"/>
        <v>-220</v>
      </c>
      <c r="M3200" s="336">
        <f t="shared" si="353"/>
        <v>-190</v>
      </c>
      <c r="N3200" s="336">
        <f t="shared" si="353"/>
        <v>60</v>
      </c>
      <c r="O3200" s="301"/>
      <c r="P3200" s="214">
        <v>2631</v>
      </c>
      <c r="Q3200" s="215">
        <v>82</v>
      </c>
      <c r="R3200" s="216" t="s">
        <v>2619</v>
      </c>
      <c r="S3200" s="217"/>
      <c r="T3200" s="218">
        <v>100</v>
      </c>
      <c r="U3200" s="218">
        <v>4.79</v>
      </c>
      <c r="V3200" s="219">
        <v>-214.89</v>
      </c>
      <c r="W3200" s="219">
        <v>0</v>
      </c>
    </row>
    <row r="3201" spans="1:23" s="46" customFormat="1" ht="15" customHeight="1" thickTop="1">
      <c r="A3201" s="5"/>
      <c r="B3201" s="5"/>
      <c r="C3201" s="3">
        <v>82</v>
      </c>
      <c r="D3201" s="47"/>
      <c r="E3201" s="47"/>
      <c r="F3201" s="191"/>
      <c r="G3201" s="56"/>
      <c r="H3201" s="56"/>
      <c r="I3201" s="56"/>
      <c r="J3201" s="56"/>
      <c r="K3201" s="56"/>
      <c r="L3201" s="56"/>
      <c r="M3201" s="56"/>
      <c r="N3201" s="56"/>
      <c r="O3201" s="289"/>
      <c r="P3201" s="221"/>
      <c r="Q3201" s="221"/>
      <c r="R3201" s="221"/>
      <c r="S3201" s="221"/>
      <c r="T3201" s="221"/>
      <c r="U3201" s="221"/>
      <c r="V3201" s="221"/>
      <c r="W3201" s="221"/>
    </row>
    <row r="3202" spans="1:23" ht="15" customHeight="1">
      <c r="C3202" s="3">
        <v>82</v>
      </c>
      <c r="D3202" s="54" t="s">
        <v>2875</v>
      </c>
      <c r="E3202" s="54"/>
      <c r="F3202" s="192"/>
      <c r="G3202" s="55"/>
      <c r="H3202" s="55"/>
      <c r="I3202" s="55"/>
      <c r="J3202" s="55"/>
      <c r="K3202" s="55">
        <f>+K3183</f>
        <v>5100</v>
      </c>
      <c r="L3202" s="55"/>
      <c r="M3202" s="55">
        <f>+M3183</f>
        <v>4810</v>
      </c>
      <c r="N3202" s="55">
        <f>+N3183</f>
        <v>4870</v>
      </c>
      <c r="O3202" s="253"/>
      <c r="P3202" s="203"/>
      <c r="Q3202" s="204"/>
      <c r="R3202" s="205"/>
      <c r="S3202" s="206"/>
      <c r="T3202" s="207"/>
      <c r="U3202" s="207"/>
      <c r="V3202" s="208"/>
      <c r="W3202" s="212"/>
    </row>
    <row r="3203" spans="1:23" s="46" customFormat="1" ht="15" customHeight="1">
      <c r="A3203" s="195"/>
      <c r="B3203" s="195"/>
      <c r="C3203" s="3">
        <v>82</v>
      </c>
      <c r="D3203" s="47"/>
      <c r="E3203" s="47"/>
      <c r="F3203" s="191"/>
      <c r="G3203" s="56"/>
      <c r="H3203" s="56"/>
      <c r="I3203" s="56"/>
      <c r="J3203" s="56"/>
      <c r="K3203" s="56"/>
      <c r="L3203" s="56"/>
      <c r="M3203" s="56"/>
      <c r="N3203" s="56"/>
      <c r="O3203" s="289"/>
      <c r="P3203" s="221"/>
      <c r="Q3203" s="221"/>
      <c r="R3203" s="221"/>
      <c r="S3203" s="221"/>
      <c r="T3203" s="221"/>
      <c r="U3203" s="221"/>
      <c r="V3203" s="221"/>
      <c r="W3203" s="221"/>
    </row>
    <row r="3204" spans="1:23" s="35" customFormat="1" ht="15" customHeight="1">
      <c r="A3204" s="2"/>
      <c r="B3204" s="2"/>
      <c r="C3204" s="3">
        <v>82</v>
      </c>
      <c r="D3204" s="47" t="s">
        <v>1976</v>
      </c>
      <c r="E3204" s="47"/>
      <c r="F3204" s="191"/>
      <c r="G3204" s="48"/>
      <c r="H3204" s="48"/>
      <c r="I3204" s="48"/>
      <c r="J3204" s="48"/>
      <c r="K3204" s="48"/>
      <c r="L3204" s="48"/>
      <c r="M3204" s="48"/>
      <c r="N3204" s="48"/>
      <c r="O3204" s="276"/>
      <c r="P3204" s="214">
        <v>2632</v>
      </c>
      <c r="Q3204" s="215">
        <v>82</v>
      </c>
      <c r="R3204" s="216" t="s">
        <v>2630</v>
      </c>
      <c r="S3204" s="217"/>
      <c r="T3204" s="218"/>
      <c r="U3204" s="218"/>
      <c r="V3204" s="219"/>
      <c r="W3204" s="219"/>
    </row>
    <row r="3205" spans="1:23" s="35" customFormat="1" ht="15" customHeight="1">
      <c r="A3205" s="2"/>
      <c r="B3205" s="2"/>
      <c r="C3205" s="3"/>
      <c r="D3205" s="47"/>
      <c r="E3205" s="47"/>
      <c r="F3205" s="191"/>
      <c r="G3205" s="48"/>
      <c r="H3205" s="48"/>
      <c r="I3205" s="48"/>
      <c r="J3205" s="48"/>
      <c r="K3205" s="48"/>
      <c r="L3205" s="48"/>
      <c r="M3205" s="48"/>
      <c r="N3205" s="48"/>
      <c r="O3205" s="276"/>
    </row>
    <row r="3206" spans="1:23" s="35" customFormat="1" ht="15" customHeight="1">
      <c r="A3206" s="2"/>
      <c r="B3206" s="2"/>
      <c r="C3206" s="3"/>
      <c r="D3206" s="47"/>
      <c r="E3206" s="47"/>
      <c r="F3206" s="191"/>
      <c r="G3206" s="48"/>
      <c r="H3206" s="48"/>
      <c r="I3206" s="48"/>
      <c r="J3206" s="48"/>
      <c r="K3206" s="48"/>
      <c r="L3206" s="48"/>
      <c r="M3206" s="48"/>
      <c r="N3206" s="48"/>
      <c r="O3206" s="276"/>
    </row>
    <row r="3207" spans="1:23" s="35" customFormat="1" ht="15" customHeight="1">
      <c r="A3207" s="2"/>
      <c r="B3207" s="2"/>
      <c r="C3207" s="3"/>
      <c r="D3207" s="47"/>
      <c r="E3207" s="47"/>
      <c r="F3207" s="191"/>
      <c r="G3207" s="48"/>
      <c r="H3207" s="48"/>
      <c r="I3207" s="48"/>
      <c r="J3207" s="48"/>
      <c r="K3207" s="48"/>
      <c r="L3207" s="48"/>
      <c r="M3207" s="48"/>
      <c r="N3207" s="48"/>
      <c r="O3207" s="276"/>
    </row>
    <row r="3208" spans="1:23" s="35" customFormat="1" ht="15" customHeight="1">
      <c r="A3208" s="2"/>
      <c r="B3208" s="2"/>
      <c r="C3208" s="3">
        <v>83</v>
      </c>
      <c r="D3208" s="47" t="s">
        <v>2395</v>
      </c>
      <c r="E3208" s="47"/>
      <c r="F3208" s="191"/>
      <c r="G3208" s="48"/>
      <c r="H3208" s="48"/>
      <c r="I3208" s="48"/>
      <c r="J3208" s="48"/>
      <c r="K3208" s="48"/>
      <c r="L3208" s="48"/>
      <c r="M3208" s="48"/>
      <c r="N3208" s="48"/>
      <c r="O3208" s="276"/>
    </row>
    <row r="3209" spans="1:23" s="35" customFormat="1" ht="15" customHeight="1">
      <c r="A3209" s="2"/>
      <c r="B3209" s="2"/>
      <c r="C3209" s="3">
        <v>83</v>
      </c>
      <c r="D3209" s="47"/>
      <c r="E3209" s="47"/>
      <c r="F3209" s="191"/>
      <c r="G3209" s="48"/>
      <c r="H3209" s="48"/>
      <c r="I3209" s="48"/>
      <c r="J3209" s="48"/>
      <c r="K3209" s="48"/>
      <c r="L3209" s="48"/>
      <c r="M3209" s="48"/>
      <c r="N3209" s="48"/>
      <c r="O3209" s="276"/>
    </row>
    <row r="3210" spans="1:23" ht="15" customHeight="1">
      <c r="C3210" s="3">
        <v>83</v>
      </c>
      <c r="D3210" s="54" t="s">
        <v>2874</v>
      </c>
      <c r="E3210" s="54"/>
      <c r="F3210" s="192"/>
      <c r="G3210" s="55"/>
      <c r="H3210" s="55"/>
      <c r="I3210" s="55"/>
      <c r="J3210" s="55">
        <v>0</v>
      </c>
      <c r="K3210" s="55">
        <v>0</v>
      </c>
      <c r="L3210" s="55"/>
      <c r="M3210" s="55">
        <v>0</v>
      </c>
      <c r="N3210" s="55">
        <f>+M3226</f>
        <v>0</v>
      </c>
      <c r="O3210" s="278"/>
      <c r="P3210" s="203"/>
      <c r="Q3210" s="204"/>
      <c r="R3210" s="205"/>
      <c r="S3210" s="206"/>
      <c r="T3210" s="207"/>
      <c r="U3210" s="207"/>
      <c r="V3210" s="208"/>
      <c r="W3210" s="212"/>
    </row>
    <row r="3211" spans="1:23" s="35" customFormat="1" ht="15" customHeight="1">
      <c r="A3211" s="2"/>
      <c r="B3211" s="2"/>
      <c r="C3211" s="3">
        <v>83</v>
      </c>
      <c r="D3211" s="47"/>
      <c r="E3211" s="47"/>
      <c r="F3211" s="191"/>
      <c r="G3211" s="48"/>
      <c r="H3211" s="48"/>
      <c r="I3211" s="48"/>
      <c r="J3211" s="48"/>
      <c r="K3211" s="48"/>
      <c r="L3211" s="48"/>
      <c r="M3211" s="48"/>
      <c r="N3211" s="48"/>
      <c r="O3211" s="276"/>
    </row>
    <row r="3212" spans="1:23" ht="15" customHeight="1">
      <c r="C3212" s="3">
        <v>83</v>
      </c>
      <c r="D3212" s="47" t="s">
        <v>2232</v>
      </c>
      <c r="G3212" s="26"/>
      <c r="H3212" s="26"/>
      <c r="I3212" s="26"/>
      <c r="J3212" s="26"/>
      <c r="K3212" s="26"/>
      <c r="L3212" s="26"/>
      <c r="M3212" s="26"/>
      <c r="N3212" s="26"/>
      <c r="P3212" s="214">
        <v>2633</v>
      </c>
      <c r="Q3212" s="215">
        <v>83</v>
      </c>
      <c r="R3212" s="216" t="s">
        <v>2610</v>
      </c>
      <c r="S3212" s="217"/>
      <c r="T3212" s="218"/>
      <c r="U3212" s="218"/>
      <c r="V3212" s="219"/>
      <c r="W3212" s="219"/>
    </row>
    <row r="3213" spans="1:23" ht="15" customHeight="1">
      <c r="C3213" s="3">
        <v>83</v>
      </c>
      <c r="G3213" s="26"/>
      <c r="H3213" s="26"/>
      <c r="I3213" s="26"/>
      <c r="J3213" s="26"/>
      <c r="K3213" s="26"/>
      <c r="L3213" s="26"/>
      <c r="M3213" s="26"/>
      <c r="N3213" s="26"/>
      <c r="P3213" s="214">
        <v>2634</v>
      </c>
      <c r="Q3213" s="215">
        <v>83</v>
      </c>
      <c r="R3213" s="216" t="s">
        <v>2611</v>
      </c>
      <c r="S3213" s="217"/>
      <c r="T3213" s="218"/>
      <c r="U3213" s="218"/>
      <c r="V3213" s="219"/>
      <c r="W3213" s="219"/>
    </row>
    <row r="3214" spans="1:23" s="21" customFormat="1" ht="15" customHeight="1">
      <c r="A3214" s="2"/>
      <c r="B3214" s="2" t="s">
        <v>2318</v>
      </c>
      <c r="C3214" s="3">
        <v>83</v>
      </c>
      <c r="D3214" s="54" t="s">
        <v>2208</v>
      </c>
      <c r="E3214" s="54"/>
      <c r="F3214" s="192"/>
      <c r="G3214" s="55">
        <f>+G3216</f>
        <v>0</v>
      </c>
      <c r="H3214" s="55">
        <f t="shared" ref="H3214:N3214" si="354">+H3216</f>
        <v>0</v>
      </c>
      <c r="I3214" s="55">
        <f t="shared" si="354"/>
        <v>0</v>
      </c>
      <c r="J3214" s="55">
        <f t="shared" si="354"/>
        <v>0</v>
      </c>
      <c r="K3214" s="55">
        <f t="shared" si="354"/>
        <v>0</v>
      </c>
      <c r="L3214" s="55">
        <f t="shared" si="354"/>
        <v>0</v>
      </c>
      <c r="M3214" s="55">
        <f t="shared" si="354"/>
        <v>0</v>
      </c>
      <c r="N3214" s="55">
        <f t="shared" si="354"/>
        <v>0</v>
      </c>
      <c r="O3214" s="279"/>
      <c r="P3214" s="214">
        <v>2635</v>
      </c>
      <c r="Q3214" s="215">
        <v>83</v>
      </c>
      <c r="R3214" s="216" t="s">
        <v>2612</v>
      </c>
      <c r="S3214" s="217"/>
      <c r="T3214" s="218">
        <v>0</v>
      </c>
      <c r="U3214" s="218">
        <v>0</v>
      </c>
      <c r="V3214" s="219">
        <v>0</v>
      </c>
      <c r="W3214" s="219">
        <v>0</v>
      </c>
    </row>
    <row r="3215" spans="1:23" s="57" customFormat="1" ht="15" customHeight="1">
      <c r="A3215" s="5"/>
      <c r="B3215" s="5"/>
      <c r="C3215" s="3">
        <v>83</v>
      </c>
      <c r="D3215" s="54"/>
      <c r="E3215" s="54"/>
      <c r="F3215" s="192"/>
      <c r="G3215" s="55"/>
      <c r="H3215" s="55"/>
      <c r="I3215" s="55"/>
      <c r="J3215" s="55"/>
      <c r="K3215" s="55"/>
      <c r="L3215" s="55"/>
      <c r="M3215" s="55"/>
      <c r="N3215" s="55"/>
      <c r="O3215" s="302"/>
      <c r="P3215" s="220"/>
      <c r="Q3215" s="220"/>
      <c r="R3215" s="220"/>
      <c r="S3215" s="220"/>
      <c r="T3215" s="220"/>
      <c r="U3215" s="220"/>
      <c r="V3215" s="220"/>
      <c r="W3215" s="220"/>
    </row>
    <row r="3216" spans="1:23" s="27" customFormat="1" ht="15" customHeight="1" thickBot="1">
      <c r="A3216" s="2"/>
      <c r="B3216" s="2" t="s">
        <v>2318</v>
      </c>
      <c r="C3216" s="3">
        <v>83</v>
      </c>
      <c r="D3216" s="68" t="str">
        <f>+D3231</f>
        <v>*** TOTAL FUND 83 REVENUES ***</v>
      </c>
      <c r="E3216" s="68"/>
      <c r="F3216" s="68">
        <f>+F3231</f>
        <v>0</v>
      </c>
      <c r="G3216" s="69">
        <f>+G3231</f>
        <v>0</v>
      </c>
      <c r="H3216" s="69">
        <f t="shared" ref="H3216:N3216" si="355">+H3231</f>
        <v>0</v>
      </c>
      <c r="I3216" s="69">
        <f t="shared" si="355"/>
        <v>0</v>
      </c>
      <c r="J3216" s="69">
        <f t="shared" si="355"/>
        <v>0</v>
      </c>
      <c r="K3216" s="69">
        <f t="shared" si="355"/>
        <v>0</v>
      </c>
      <c r="L3216" s="69">
        <f t="shared" si="355"/>
        <v>0</v>
      </c>
      <c r="M3216" s="69">
        <f t="shared" si="355"/>
        <v>0</v>
      </c>
      <c r="N3216" s="69">
        <f t="shared" si="355"/>
        <v>0</v>
      </c>
      <c r="O3216" s="281"/>
      <c r="P3216" s="214">
        <v>2636</v>
      </c>
      <c r="Q3216" s="215">
        <v>83</v>
      </c>
      <c r="R3216" s="216" t="s">
        <v>2613</v>
      </c>
      <c r="S3216" s="217"/>
      <c r="T3216" s="218">
        <v>0</v>
      </c>
      <c r="U3216" s="218">
        <v>0</v>
      </c>
      <c r="V3216" s="219">
        <v>0</v>
      </c>
      <c r="W3216" s="219">
        <v>0</v>
      </c>
    </row>
    <row r="3217" spans="1:23" s="46" customFormat="1" ht="15" customHeight="1" thickTop="1">
      <c r="A3217" s="5"/>
      <c r="B3217" s="5"/>
      <c r="C3217" s="3">
        <v>83</v>
      </c>
      <c r="D3217" s="47"/>
      <c r="E3217" s="47"/>
      <c r="F3217" s="47"/>
      <c r="G3217" s="56"/>
      <c r="H3217" s="56"/>
      <c r="I3217" s="56"/>
      <c r="J3217" s="56"/>
      <c r="K3217" s="56"/>
      <c r="L3217" s="56"/>
      <c r="M3217" s="56"/>
      <c r="N3217" s="56"/>
      <c r="O3217" s="289"/>
      <c r="P3217" s="221"/>
      <c r="Q3217" s="221"/>
      <c r="R3217" s="221"/>
      <c r="S3217" s="221"/>
      <c r="T3217" s="221"/>
      <c r="U3217" s="221"/>
      <c r="V3217" s="221"/>
      <c r="W3217" s="221"/>
    </row>
    <row r="3218" spans="1:23" ht="15" customHeight="1">
      <c r="C3218" s="3">
        <v>83</v>
      </c>
      <c r="D3218" s="47" t="s">
        <v>1977</v>
      </c>
      <c r="G3218" s="26"/>
      <c r="H3218" s="26"/>
      <c r="I3218" s="26"/>
      <c r="J3218" s="26"/>
      <c r="K3218" s="26"/>
      <c r="L3218" s="26"/>
      <c r="M3218" s="26"/>
      <c r="N3218" s="26"/>
      <c r="P3218" s="214">
        <v>2637</v>
      </c>
      <c r="Q3218" s="215">
        <v>83</v>
      </c>
      <c r="R3218" s="216" t="s">
        <v>2614</v>
      </c>
      <c r="S3218" s="217"/>
      <c r="T3218" s="218"/>
      <c r="U3218" s="218"/>
      <c r="V3218" s="219"/>
      <c r="W3218" s="219"/>
    </row>
    <row r="3219" spans="1:23" ht="15" customHeight="1">
      <c r="C3219" s="3">
        <v>83</v>
      </c>
      <c r="G3219" s="26"/>
      <c r="H3219" s="26"/>
      <c r="I3219" s="26"/>
      <c r="J3219" s="26"/>
      <c r="K3219" s="26"/>
      <c r="L3219" s="26"/>
      <c r="M3219" s="26"/>
      <c r="N3219" s="26"/>
      <c r="P3219" s="214">
        <v>2638</v>
      </c>
      <c r="Q3219" s="215">
        <v>83</v>
      </c>
      <c r="R3219" s="216" t="s">
        <v>2615</v>
      </c>
      <c r="S3219" s="217"/>
      <c r="T3219" s="218"/>
      <c r="U3219" s="218"/>
      <c r="V3219" s="219"/>
      <c r="W3219" s="219"/>
    </row>
    <row r="3220" spans="1:23" ht="15" customHeight="1">
      <c r="B3220" s="2" t="s">
        <v>2318</v>
      </c>
      <c r="C3220" s="3">
        <v>83</v>
      </c>
      <c r="D3220" s="47" t="s">
        <v>1667</v>
      </c>
      <c r="G3220" s="26">
        <f>+G3239</f>
        <v>0</v>
      </c>
      <c r="H3220" s="26">
        <f t="shared" ref="H3220:N3220" si="356">+H3239</f>
        <v>0</v>
      </c>
      <c r="I3220" s="26">
        <f t="shared" si="356"/>
        <v>0</v>
      </c>
      <c r="J3220" s="26">
        <f t="shared" si="356"/>
        <v>0</v>
      </c>
      <c r="K3220" s="26">
        <f t="shared" si="356"/>
        <v>0</v>
      </c>
      <c r="L3220" s="26">
        <f t="shared" si="356"/>
        <v>0</v>
      </c>
      <c r="M3220" s="26">
        <f t="shared" si="356"/>
        <v>0</v>
      </c>
      <c r="N3220" s="26">
        <f t="shared" si="356"/>
        <v>0</v>
      </c>
      <c r="P3220" s="214">
        <v>2639</v>
      </c>
      <c r="Q3220" s="215">
        <v>83</v>
      </c>
      <c r="R3220" s="216" t="s">
        <v>1667</v>
      </c>
      <c r="S3220" s="217"/>
      <c r="T3220" s="218">
        <v>0</v>
      </c>
      <c r="U3220" s="218">
        <v>0</v>
      </c>
      <c r="V3220" s="219">
        <v>0</v>
      </c>
      <c r="W3220" s="219">
        <v>0</v>
      </c>
    </row>
    <row r="3221" spans="1:23" ht="15" customHeight="1">
      <c r="C3221" s="3">
        <v>83</v>
      </c>
      <c r="D3221" s="47"/>
      <c r="G3221" s="26"/>
      <c r="H3221" s="26"/>
      <c r="I3221" s="26"/>
      <c r="J3221" s="26"/>
      <c r="K3221" s="26"/>
      <c r="L3221" s="26"/>
      <c r="M3221" s="26"/>
      <c r="N3221" s="26"/>
      <c r="P3221" s="222"/>
      <c r="Q3221" s="222"/>
      <c r="R3221" s="222"/>
      <c r="S3221" s="223"/>
      <c r="T3221" s="223"/>
      <c r="U3221" s="223"/>
      <c r="V3221" s="224"/>
      <c r="W3221" s="224"/>
    </row>
    <row r="3222" spans="1:23" s="37" customFormat="1" ht="15" customHeight="1">
      <c r="A3222" s="2"/>
      <c r="B3222" s="2" t="s">
        <v>2318</v>
      </c>
      <c r="C3222" s="3">
        <v>83</v>
      </c>
      <c r="D3222" s="54" t="str">
        <f>+D3241</f>
        <v>*** TOTAL FUND 83 EXPENSES ***</v>
      </c>
      <c r="E3222" s="54"/>
      <c r="F3222" s="54">
        <f t="shared" ref="F3222:N3222" si="357">+F3241</f>
        <v>0</v>
      </c>
      <c r="G3222" s="339">
        <f t="shared" si="357"/>
        <v>0</v>
      </c>
      <c r="H3222" s="339">
        <f t="shared" si="357"/>
        <v>0</v>
      </c>
      <c r="I3222" s="339">
        <f t="shared" si="357"/>
        <v>0</v>
      </c>
      <c r="J3222" s="339">
        <f t="shared" si="357"/>
        <v>0</v>
      </c>
      <c r="K3222" s="339">
        <f t="shared" si="357"/>
        <v>0</v>
      </c>
      <c r="L3222" s="339">
        <f t="shared" si="357"/>
        <v>0</v>
      </c>
      <c r="M3222" s="339">
        <f t="shared" si="357"/>
        <v>0</v>
      </c>
      <c r="N3222" s="339">
        <f t="shared" si="357"/>
        <v>0</v>
      </c>
      <c r="O3222" s="303"/>
      <c r="P3222" s="214">
        <v>2640</v>
      </c>
      <c r="Q3222" s="215">
        <v>83</v>
      </c>
      <c r="R3222" s="216" t="s">
        <v>2618</v>
      </c>
      <c r="S3222" s="217"/>
      <c r="T3222" s="218">
        <v>0</v>
      </c>
      <c r="U3222" s="218">
        <v>0</v>
      </c>
      <c r="V3222" s="219">
        <v>0</v>
      </c>
      <c r="W3222" s="219">
        <v>0</v>
      </c>
    </row>
    <row r="3223" spans="1:23" s="46" customFormat="1" ht="15" customHeight="1">
      <c r="A3223" s="5"/>
      <c r="B3223" s="5"/>
      <c r="C3223" s="3">
        <v>83</v>
      </c>
      <c r="D3223" s="47"/>
      <c r="E3223" s="47"/>
      <c r="F3223" s="47"/>
      <c r="G3223" s="56"/>
      <c r="H3223" s="56"/>
      <c r="I3223" s="56"/>
      <c r="J3223" s="56"/>
      <c r="K3223" s="56"/>
      <c r="L3223" s="56"/>
      <c r="M3223" s="56"/>
      <c r="N3223" s="56"/>
      <c r="O3223" s="289"/>
      <c r="P3223" s="221"/>
      <c r="Q3223" s="221"/>
      <c r="R3223" s="221"/>
      <c r="S3223" s="221"/>
      <c r="T3223" s="221"/>
      <c r="U3223" s="221"/>
      <c r="V3223" s="221"/>
      <c r="W3223" s="221"/>
    </row>
    <row r="3224" spans="1:23" s="33" customFormat="1" ht="15" customHeight="1" thickBot="1">
      <c r="A3224" s="2"/>
      <c r="B3224" s="2" t="s">
        <v>2318</v>
      </c>
      <c r="C3224" s="3">
        <v>83</v>
      </c>
      <c r="D3224" s="335" t="str">
        <f>+D3243</f>
        <v>*** FUND 83 REVENUES OVER(UNDER) EXPENSES ***</v>
      </c>
      <c r="E3224" s="336"/>
      <c r="F3224" s="336">
        <f>+F3243</f>
        <v>0</v>
      </c>
      <c r="G3224" s="336">
        <f>+G3243</f>
        <v>0</v>
      </c>
      <c r="H3224" s="336">
        <f t="shared" ref="H3224:N3224" si="358">+H3243</f>
        <v>0</v>
      </c>
      <c r="I3224" s="336">
        <f t="shared" si="358"/>
        <v>0</v>
      </c>
      <c r="J3224" s="336">
        <f t="shared" si="358"/>
        <v>0</v>
      </c>
      <c r="K3224" s="336">
        <f t="shared" si="358"/>
        <v>0</v>
      </c>
      <c r="L3224" s="336">
        <f t="shared" si="358"/>
        <v>0</v>
      </c>
      <c r="M3224" s="336">
        <f t="shared" si="358"/>
        <v>0</v>
      </c>
      <c r="N3224" s="336">
        <f t="shared" si="358"/>
        <v>0</v>
      </c>
      <c r="O3224" s="301"/>
      <c r="P3224" s="214">
        <v>2641</v>
      </c>
      <c r="Q3224" s="215">
        <v>83</v>
      </c>
      <c r="R3224" s="216" t="s">
        <v>2619</v>
      </c>
      <c r="S3224" s="217"/>
      <c r="T3224" s="218">
        <v>0</v>
      </c>
      <c r="U3224" s="218">
        <v>0</v>
      </c>
      <c r="V3224" s="219">
        <v>0</v>
      </c>
      <c r="W3224" s="219">
        <v>0</v>
      </c>
    </row>
    <row r="3225" spans="1:23" s="46" customFormat="1" ht="15" customHeight="1" thickTop="1">
      <c r="A3225" s="5"/>
      <c r="B3225" s="5"/>
      <c r="C3225" s="3">
        <v>83</v>
      </c>
      <c r="D3225" s="58"/>
      <c r="E3225" s="56"/>
      <c r="F3225" s="56"/>
      <c r="G3225" s="56"/>
      <c r="H3225" s="56"/>
      <c r="I3225" s="56"/>
      <c r="J3225" s="56"/>
      <c r="K3225" s="56"/>
      <c r="L3225" s="56"/>
      <c r="M3225" s="56"/>
      <c r="N3225" s="56"/>
      <c r="O3225" s="289"/>
      <c r="P3225" s="221"/>
      <c r="Q3225" s="221"/>
      <c r="R3225" s="221"/>
      <c r="S3225" s="221"/>
      <c r="T3225" s="221"/>
      <c r="U3225" s="221"/>
      <c r="V3225" s="221"/>
      <c r="W3225" s="221"/>
    </row>
    <row r="3226" spans="1:23" ht="15" customHeight="1">
      <c r="C3226" s="3">
        <v>83</v>
      </c>
      <c r="D3226" s="54" t="s">
        <v>2875</v>
      </c>
      <c r="E3226" s="54"/>
      <c r="F3226" s="192"/>
      <c r="G3226" s="55"/>
      <c r="H3226" s="55"/>
      <c r="I3226" s="55"/>
      <c r="J3226" s="55"/>
      <c r="K3226" s="55">
        <f>+K3210+K3216-K3222</f>
        <v>0</v>
      </c>
      <c r="L3226" s="55"/>
      <c r="M3226" s="55">
        <f>+M3210+M3216-M3222</f>
        <v>0</v>
      </c>
      <c r="N3226" s="55">
        <f>+N3210+N3216-N3222</f>
        <v>0</v>
      </c>
      <c r="O3226" s="253"/>
      <c r="P3226" s="203"/>
      <c r="Q3226" s="204"/>
      <c r="R3226" s="205"/>
      <c r="S3226" s="206"/>
      <c r="T3226" s="207"/>
      <c r="U3226" s="207"/>
      <c r="V3226" s="208"/>
      <c r="W3226" s="212"/>
    </row>
    <row r="3227" spans="1:23" s="46" customFormat="1" ht="15" customHeight="1">
      <c r="A3227" s="195"/>
      <c r="B3227" s="195"/>
      <c r="C3227" s="3">
        <v>83</v>
      </c>
      <c r="D3227" s="58"/>
      <c r="E3227" s="56"/>
      <c r="F3227" s="56"/>
      <c r="G3227" s="56"/>
      <c r="H3227" s="56"/>
      <c r="I3227" s="56"/>
      <c r="J3227" s="56"/>
      <c r="K3227" s="56"/>
      <c r="L3227" s="56"/>
      <c r="M3227" s="26"/>
      <c r="N3227" s="26"/>
      <c r="O3227" s="289"/>
      <c r="P3227" s="221"/>
      <c r="Q3227" s="221"/>
      <c r="R3227" s="221"/>
      <c r="S3227" s="221"/>
      <c r="T3227" s="221"/>
      <c r="U3227" s="221"/>
      <c r="V3227" s="221"/>
      <c r="W3227" s="221"/>
    </row>
    <row r="3228" spans="1:23" ht="15" customHeight="1">
      <c r="C3228" s="3">
        <v>83</v>
      </c>
      <c r="D3228" s="15">
        <v>4330.1030000000001</v>
      </c>
      <c r="E3228" s="312" t="s">
        <v>1669</v>
      </c>
      <c r="G3228" s="26">
        <v>0</v>
      </c>
      <c r="H3228" s="26">
        <v>0</v>
      </c>
      <c r="I3228" s="26">
        <v>0</v>
      </c>
      <c r="J3228" s="26">
        <v>0</v>
      </c>
      <c r="K3228" s="26">
        <v>0</v>
      </c>
      <c r="L3228" s="26">
        <v>0</v>
      </c>
      <c r="M3228" s="26">
        <v>0</v>
      </c>
      <c r="N3228" s="26">
        <v>0</v>
      </c>
      <c r="O3228" s="285"/>
      <c r="P3228" s="214">
        <v>2642</v>
      </c>
      <c r="Q3228" s="215">
        <v>83</v>
      </c>
      <c r="R3228" s="216">
        <v>4330.1030000000001</v>
      </c>
      <c r="S3228" s="217" t="s">
        <v>1669</v>
      </c>
      <c r="T3228" s="218">
        <v>0</v>
      </c>
      <c r="U3228" s="218">
        <v>0</v>
      </c>
      <c r="V3228" s="219">
        <v>0</v>
      </c>
      <c r="W3228" s="219">
        <v>0</v>
      </c>
    </row>
    <row r="3229" spans="1:23" ht="15" customHeight="1">
      <c r="C3229" s="3">
        <v>83</v>
      </c>
      <c r="D3229" s="15">
        <v>4355.1030000000001</v>
      </c>
      <c r="E3229" s="312" t="s">
        <v>1921</v>
      </c>
      <c r="G3229" s="26">
        <v>0</v>
      </c>
      <c r="H3229" s="26">
        <v>0</v>
      </c>
      <c r="I3229" s="26">
        <v>0</v>
      </c>
      <c r="J3229" s="26">
        <v>0</v>
      </c>
      <c r="K3229" s="26">
        <v>0</v>
      </c>
      <c r="L3229" s="26">
        <v>0</v>
      </c>
      <c r="M3229" s="26">
        <v>0</v>
      </c>
      <c r="N3229" s="26">
        <v>0</v>
      </c>
      <c r="O3229" s="285"/>
      <c r="P3229" s="214">
        <v>2643</v>
      </c>
      <c r="Q3229" s="215">
        <v>83</v>
      </c>
      <c r="R3229" s="216">
        <v>4355.1030000000001</v>
      </c>
      <c r="S3229" s="217" t="s">
        <v>1921</v>
      </c>
      <c r="T3229" s="218">
        <v>0</v>
      </c>
      <c r="U3229" s="218">
        <v>0</v>
      </c>
      <c r="V3229" s="219">
        <v>0</v>
      </c>
      <c r="W3229" s="219">
        <v>0</v>
      </c>
    </row>
    <row r="3230" spans="1:23" ht="15" customHeight="1">
      <c r="C3230" s="3">
        <v>83</v>
      </c>
      <c r="E3230" s="14"/>
      <c r="G3230" s="26"/>
      <c r="H3230" s="26"/>
      <c r="I3230" s="26"/>
      <c r="J3230" s="26"/>
      <c r="K3230" s="26"/>
      <c r="L3230" s="26"/>
      <c r="M3230" s="26"/>
      <c r="N3230" s="26"/>
      <c r="P3230" s="222"/>
      <c r="Q3230" s="222"/>
      <c r="R3230" s="222"/>
      <c r="S3230" s="223"/>
      <c r="T3230" s="223"/>
      <c r="U3230" s="223"/>
      <c r="V3230" s="224"/>
      <c r="W3230" s="224"/>
    </row>
    <row r="3231" spans="1:23" s="27" customFormat="1" ht="15" customHeight="1" thickBot="1">
      <c r="A3231" s="2"/>
      <c r="B3231" s="2" t="s">
        <v>2317</v>
      </c>
      <c r="C3231" s="3">
        <v>83</v>
      </c>
      <c r="D3231" s="68" t="s">
        <v>2306</v>
      </c>
      <c r="E3231" s="68"/>
      <c r="F3231" s="320"/>
      <c r="G3231" s="69">
        <f>SUM(G3227:G3230)</f>
        <v>0</v>
      </c>
      <c r="H3231" s="69">
        <f t="shared" ref="H3231:N3231" si="359">SUM(H3227:H3230)</f>
        <v>0</v>
      </c>
      <c r="I3231" s="69">
        <f t="shared" si="359"/>
        <v>0</v>
      </c>
      <c r="J3231" s="69">
        <f t="shared" si="359"/>
        <v>0</v>
      </c>
      <c r="K3231" s="69">
        <f t="shared" si="359"/>
        <v>0</v>
      </c>
      <c r="L3231" s="69">
        <f t="shared" si="359"/>
        <v>0</v>
      </c>
      <c r="M3231" s="69">
        <f t="shared" si="359"/>
        <v>0</v>
      </c>
      <c r="N3231" s="69">
        <f t="shared" si="359"/>
        <v>0</v>
      </c>
      <c r="O3231" s="281"/>
      <c r="P3231" s="214">
        <v>2644</v>
      </c>
      <c r="Q3231" s="215">
        <v>83</v>
      </c>
      <c r="R3231" s="216" t="s">
        <v>2620</v>
      </c>
      <c r="S3231" s="217"/>
      <c r="T3231" s="218">
        <v>0</v>
      </c>
      <c r="U3231" s="218">
        <v>0</v>
      </c>
      <c r="V3231" s="219">
        <v>0</v>
      </c>
      <c r="W3231" s="219">
        <v>0</v>
      </c>
    </row>
    <row r="3232" spans="1:23" s="46" customFormat="1" ht="15" customHeight="1" thickTop="1">
      <c r="A3232" s="5"/>
      <c r="B3232" s="5"/>
      <c r="C3232" s="3">
        <v>83</v>
      </c>
      <c r="D3232" s="47"/>
      <c r="E3232" s="47"/>
      <c r="F3232" s="191"/>
      <c r="G3232" s="56"/>
      <c r="H3232" s="56"/>
      <c r="I3232" s="56"/>
      <c r="J3232" s="56"/>
      <c r="K3232" s="56"/>
      <c r="L3232" s="56"/>
      <c r="M3232" s="56"/>
      <c r="N3232" s="56"/>
      <c r="O3232" s="289"/>
      <c r="P3232" s="221"/>
      <c r="Q3232" s="221"/>
      <c r="R3232" s="221"/>
      <c r="S3232" s="221"/>
      <c r="T3232" s="221"/>
      <c r="U3232" s="221"/>
      <c r="V3232" s="221"/>
      <c r="W3232" s="221"/>
    </row>
    <row r="3233" spans="1:23" ht="15" customHeight="1">
      <c r="C3233" s="3">
        <v>83</v>
      </c>
      <c r="D3233" s="47" t="s">
        <v>1972</v>
      </c>
      <c r="G3233" s="26"/>
      <c r="H3233" s="26"/>
      <c r="I3233" s="26"/>
      <c r="J3233" s="26"/>
      <c r="K3233" s="26"/>
      <c r="L3233" s="26"/>
      <c r="M3233" s="26"/>
      <c r="N3233" s="26"/>
      <c r="P3233" s="214">
        <v>2645</v>
      </c>
      <c r="Q3233" s="215">
        <v>83</v>
      </c>
      <c r="R3233" s="216" t="s">
        <v>104</v>
      </c>
      <c r="S3233" s="217"/>
      <c r="T3233" s="218"/>
      <c r="U3233" s="218"/>
      <c r="V3233" s="219"/>
      <c r="W3233" s="219"/>
    </row>
    <row r="3234" spans="1:23" ht="15" customHeight="1">
      <c r="C3234" s="3">
        <v>83</v>
      </c>
      <c r="G3234" s="26"/>
      <c r="H3234" s="26"/>
      <c r="I3234" s="26"/>
      <c r="J3234" s="26"/>
      <c r="K3234" s="26"/>
      <c r="L3234" s="26"/>
      <c r="M3234" s="26"/>
      <c r="N3234" s="26"/>
      <c r="P3234" s="214">
        <v>2646</v>
      </c>
      <c r="Q3234" s="215">
        <v>83</v>
      </c>
      <c r="R3234" s="216" t="s">
        <v>2624</v>
      </c>
      <c r="S3234" s="217"/>
      <c r="T3234" s="218"/>
      <c r="U3234" s="218"/>
      <c r="V3234" s="219"/>
      <c r="W3234" s="219"/>
    </row>
    <row r="3235" spans="1:23" ht="15" customHeight="1">
      <c r="C3235" s="3">
        <v>83</v>
      </c>
      <c r="D3235" s="15" t="s">
        <v>1922</v>
      </c>
      <c r="E3235" s="312" t="s">
        <v>1923</v>
      </c>
      <c r="G3235" s="26">
        <v>0</v>
      </c>
      <c r="H3235" s="26">
        <v>0</v>
      </c>
      <c r="I3235" s="26">
        <v>0</v>
      </c>
      <c r="J3235" s="26">
        <v>0</v>
      </c>
      <c r="K3235" s="26">
        <v>0</v>
      </c>
      <c r="L3235" s="26">
        <v>0</v>
      </c>
      <c r="M3235" s="26">
        <v>0</v>
      </c>
      <c r="N3235" s="26">
        <v>0</v>
      </c>
      <c r="O3235" s="285"/>
      <c r="P3235" s="214">
        <v>2647</v>
      </c>
      <c r="Q3235" s="215">
        <v>83</v>
      </c>
      <c r="R3235" s="216" t="s">
        <v>1922</v>
      </c>
      <c r="S3235" s="217" t="s">
        <v>1923</v>
      </c>
      <c r="T3235" s="218">
        <v>0</v>
      </c>
      <c r="U3235" s="218">
        <v>0</v>
      </c>
      <c r="V3235" s="219">
        <v>0</v>
      </c>
      <c r="W3235" s="219">
        <v>0</v>
      </c>
    </row>
    <row r="3236" spans="1:23" ht="15" customHeight="1">
      <c r="C3236" s="3">
        <v>83</v>
      </c>
      <c r="G3236" s="26"/>
      <c r="H3236" s="26"/>
      <c r="I3236" s="26"/>
      <c r="J3236" s="26"/>
      <c r="K3236" s="26"/>
      <c r="L3236" s="26"/>
      <c r="M3236" s="26"/>
      <c r="N3236" s="26"/>
      <c r="P3236" s="214">
        <v>2648</v>
      </c>
      <c r="Q3236" s="215">
        <v>83</v>
      </c>
      <c r="R3236" s="216" t="s">
        <v>2623</v>
      </c>
      <c r="S3236" s="217"/>
      <c r="T3236" s="218"/>
      <c r="U3236" s="218"/>
      <c r="V3236" s="219"/>
      <c r="W3236" s="219"/>
    </row>
    <row r="3237" spans="1:23" s="200" customFormat="1" ht="15" customHeight="1">
      <c r="A3237" s="196" t="s">
        <v>104</v>
      </c>
      <c r="B3237" s="196" t="s">
        <v>2317</v>
      </c>
      <c r="C3237" s="75">
        <v>83</v>
      </c>
      <c r="D3237" s="323" t="s">
        <v>1969</v>
      </c>
      <c r="E3237" s="323"/>
      <c r="F3237" s="324"/>
      <c r="G3237" s="325">
        <f>SUM(G3232:G3236)</f>
        <v>0</v>
      </c>
      <c r="H3237" s="325">
        <f t="shared" ref="H3237:N3237" si="360">SUM(H3232:H3236)</f>
        <v>0</v>
      </c>
      <c r="I3237" s="325">
        <f t="shared" si="360"/>
        <v>0</v>
      </c>
      <c r="J3237" s="325">
        <f t="shared" si="360"/>
        <v>0</v>
      </c>
      <c r="K3237" s="325">
        <f t="shared" si="360"/>
        <v>0</v>
      </c>
      <c r="L3237" s="325">
        <f t="shared" si="360"/>
        <v>0</v>
      </c>
      <c r="M3237" s="325">
        <f t="shared" si="360"/>
        <v>0</v>
      </c>
      <c r="N3237" s="325">
        <f t="shared" si="360"/>
        <v>0</v>
      </c>
      <c r="O3237" s="287"/>
      <c r="P3237" s="214">
        <v>2649</v>
      </c>
      <c r="Q3237" s="215">
        <v>83</v>
      </c>
      <c r="R3237" s="216" t="s">
        <v>104</v>
      </c>
      <c r="S3237" s="217"/>
      <c r="T3237" s="218">
        <v>0</v>
      </c>
      <c r="U3237" s="218">
        <v>0</v>
      </c>
      <c r="V3237" s="219">
        <v>0</v>
      </c>
      <c r="W3237" s="219">
        <v>0</v>
      </c>
    </row>
    <row r="3238" spans="1:23" ht="15" customHeight="1">
      <c r="C3238" s="3">
        <v>83</v>
      </c>
      <c r="G3238" s="26"/>
      <c r="H3238" s="26"/>
      <c r="I3238" s="26"/>
      <c r="J3238" s="26"/>
      <c r="K3238" s="26"/>
      <c r="L3238" s="26"/>
      <c r="M3238" s="26"/>
      <c r="N3238" s="26"/>
      <c r="P3238" s="214">
        <v>2650</v>
      </c>
      <c r="Q3238" s="215">
        <v>83</v>
      </c>
      <c r="R3238" s="216" t="s">
        <v>2623</v>
      </c>
      <c r="S3238" s="217"/>
      <c r="T3238" s="218"/>
      <c r="U3238" s="218"/>
      <c r="V3238" s="219"/>
      <c r="W3238" s="219"/>
    </row>
    <row r="3239" spans="1:23" ht="15" customHeight="1">
      <c r="B3239" s="2" t="s">
        <v>2317</v>
      </c>
      <c r="C3239" s="3">
        <v>83</v>
      </c>
      <c r="D3239" s="47" t="s">
        <v>1667</v>
      </c>
      <c r="G3239" s="26">
        <f>SUM(G3237:G3238)</f>
        <v>0</v>
      </c>
      <c r="H3239" s="26">
        <f t="shared" ref="H3239:N3239" si="361">SUM(H3237:H3238)</f>
        <v>0</v>
      </c>
      <c r="I3239" s="26">
        <f t="shared" si="361"/>
        <v>0</v>
      </c>
      <c r="J3239" s="26">
        <f t="shared" si="361"/>
        <v>0</v>
      </c>
      <c r="K3239" s="26">
        <f t="shared" si="361"/>
        <v>0</v>
      </c>
      <c r="L3239" s="26">
        <f t="shared" si="361"/>
        <v>0</v>
      </c>
      <c r="M3239" s="26">
        <f t="shared" si="361"/>
        <v>0</v>
      </c>
      <c r="N3239" s="26">
        <f t="shared" si="361"/>
        <v>0</v>
      </c>
      <c r="P3239" s="214">
        <v>2651</v>
      </c>
      <c r="Q3239" s="215">
        <v>83</v>
      </c>
      <c r="R3239" s="216" t="s">
        <v>1667</v>
      </c>
      <c r="S3239" s="217"/>
      <c r="T3239" s="218">
        <v>0</v>
      </c>
      <c r="U3239" s="218">
        <v>0</v>
      </c>
      <c r="V3239" s="219">
        <v>0</v>
      </c>
      <c r="W3239" s="219">
        <v>0</v>
      </c>
    </row>
    <row r="3240" spans="1:23" ht="15" customHeight="1">
      <c r="C3240" s="3">
        <v>83</v>
      </c>
      <c r="D3240" s="47"/>
      <c r="G3240" s="26"/>
      <c r="H3240" s="26"/>
      <c r="I3240" s="26"/>
      <c r="J3240" s="26"/>
      <c r="K3240" s="26"/>
      <c r="L3240" s="26"/>
      <c r="M3240" s="26"/>
      <c r="N3240" s="26"/>
      <c r="P3240" s="222"/>
      <c r="Q3240" s="222"/>
      <c r="R3240" s="222"/>
      <c r="S3240" s="223"/>
      <c r="T3240" s="223"/>
      <c r="U3240" s="223"/>
      <c r="V3240" s="224"/>
      <c r="W3240" s="224"/>
    </row>
    <row r="3241" spans="1:23" s="31" customFormat="1" ht="15" customHeight="1">
      <c r="A3241" s="2"/>
      <c r="B3241" s="2" t="s">
        <v>2317</v>
      </c>
      <c r="C3241" s="3">
        <v>83</v>
      </c>
      <c r="D3241" s="54" t="s">
        <v>2283</v>
      </c>
      <c r="E3241" s="54"/>
      <c r="F3241" s="192"/>
      <c r="G3241" s="339">
        <f>SUM(G3239:G3240)</f>
        <v>0</v>
      </c>
      <c r="H3241" s="339">
        <f t="shared" ref="H3241:N3241" si="362">SUM(H3239:H3240)</f>
        <v>0</v>
      </c>
      <c r="I3241" s="339">
        <f t="shared" si="362"/>
        <v>0</v>
      </c>
      <c r="J3241" s="339">
        <f t="shared" si="362"/>
        <v>0</v>
      </c>
      <c r="K3241" s="339">
        <f t="shared" si="362"/>
        <v>0</v>
      </c>
      <c r="L3241" s="339">
        <f t="shared" si="362"/>
        <v>0</v>
      </c>
      <c r="M3241" s="339">
        <f t="shared" si="362"/>
        <v>0</v>
      </c>
      <c r="N3241" s="339">
        <f t="shared" si="362"/>
        <v>0</v>
      </c>
      <c r="O3241" s="305"/>
      <c r="P3241" s="214">
        <v>2652</v>
      </c>
      <c r="Q3241" s="215">
        <v>83</v>
      </c>
      <c r="R3241" s="216" t="s">
        <v>2618</v>
      </c>
      <c r="S3241" s="217"/>
      <c r="T3241" s="218">
        <v>0</v>
      </c>
      <c r="U3241" s="218">
        <v>0</v>
      </c>
      <c r="V3241" s="219">
        <v>0</v>
      </c>
      <c r="W3241" s="219">
        <v>0</v>
      </c>
    </row>
    <row r="3242" spans="1:23" s="46" customFormat="1" ht="15" customHeight="1">
      <c r="A3242" s="5"/>
      <c r="B3242" s="5"/>
      <c r="C3242" s="3">
        <v>83</v>
      </c>
      <c r="D3242" s="47"/>
      <c r="E3242" s="47"/>
      <c r="F3242" s="191"/>
      <c r="G3242" s="56"/>
      <c r="H3242" s="56"/>
      <c r="I3242" s="56"/>
      <c r="J3242" s="56"/>
      <c r="K3242" s="56"/>
      <c r="L3242" s="56"/>
      <c r="M3242" s="56"/>
      <c r="N3242" s="56"/>
      <c r="O3242" s="289"/>
      <c r="P3242" s="221"/>
      <c r="Q3242" s="221"/>
      <c r="R3242" s="221"/>
      <c r="S3242" s="221"/>
      <c r="T3242" s="221"/>
      <c r="U3242" s="221"/>
      <c r="V3242" s="221"/>
      <c r="W3242" s="221"/>
    </row>
    <row r="3243" spans="1:23" s="33" customFormat="1" ht="15" customHeight="1" thickBot="1">
      <c r="A3243" s="2"/>
      <c r="B3243" s="2" t="s">
        <v>2317</v>
      </c>
      <c r="C3243" s="3">
        <v>83</v>
      </c>
      <c r="D3243" s="329" t="s">
        <v>2258</v>
      </c>
      <c r="E3243" s="329"/>
      <c r="F3243" s="330"/>
      <c r="G3243" s="336">
        <f>+G3231-G3241</f>
        <v>0</v>
      </c>
      <c r="H3243" s="336">
        <f t="shared" ref="H3243:N3243" si="363">+H3231-H3241</f>
        <v>0</v>
      </c>
      <c r="I3243" s="336">
        <f t="shared" si="363"/>
        <v>0</v>
      </c>
      <c r="J3243" s="336">
        <f t="shared" si="363"/>
        <v>0</v>
      </c>
      <c r="K3243" s="336">
        <f t="shared" si="363"/>
        <v>0</v>
      </c>
      <c r="L3243" s="336">
        <f t="shared" si="363"/>
        <v>0</v>
      </c>
      <c r="M3243" s="336">
        <f t="shared" si="363"/>
        <v>0</v>
      </c>
      <c r="N3243" s="336">
        <f t="shared" si="363"/>
        <v>0</v>
      </c>
      <c r="O3243" s="301"/>
      <c r="P3243" s="214">
        <v>2653</v>
      </c>
      <c r="Q3243" s="215">
        <v>83</v>
      </c>
      <c r="R3243" s="216" t="s">
        <v>2619</v>
      </c>
      <c r="S3243" s="217"/>
      <c r="T3243" s="218">
        <v>0</v>
      </c>
      <c r="U3243" s="218">
        <v>0</v>
      </c>
      <c r="V3243" s="219">
        <v>0</v>
      </c>
      <c r="W3243" s="219">
        <v>0</v>
      </c>
    </row>
    <row r="3244" spans="1:23" s="46" customFormat="1" ht="15" customHeight="1" thickTop="1">
      <c r="A3244" s="5"/>
      <c r="B3244" s="5"/>
      <c r="C3244" s="3">
        <v>83</v>
      </c>
      <c r="D3244" s="47"/>
      <c r="E3244" s="47"/>
      <c r="F3244" s="191"/>
      <c r="G3244" s="56"/>
      <c r="H3244" s="56"/>
      <c r="I3244" s="56"/>
      <c r="J3244" s="56"/>
      <c r="K3244" s="56"/>
      <c r="L3244" s="56"/>
      <c r="M3244" s="56"/>
      <c r="N3244" s="56"/>
      <c r="O3244" s="289"/>
      <c r="P3244" s="221"/>
      <c r="Q3244" s="221"/>
      <c r="R3244" s="221"/>
      <c r="S3244" s="221"/>
      <c r="T3244" s="221"/>
      <c r="U3244" s="221"/>
      <c r="V3244" s="221"/>
      <c r="W3244" s="221"/>
    </row>
    <row r="3245" spans="1:23" ht="15" customHeight="1">
      <c r="C3245" s="3">
        <v>83</v>
      </c>
      <c r="D3245" s="54" t="s">
        <v>2875</v>
      </c>
      <c r="E3245" s="54"/>
      <c r="F3245" s="192"/>
      <c r="G3245" s="55"/>
      <c r="H3245" s="55"/>
      <c r="I3245" s="55"/>
      <c r="J3245" s="55">
        <v>0</v>
      </c>
      <c r="K3245" s="55">
        <f>+K3226</f>
        <v>0</v>
      </c>
      <c r="L3245" s="55"/>
      <c r="M3245" s="55">
        <f>+M3226</f>
        <v>0</v>
      </c>
      <c r="N3245" s="55">
        <f>+N3226</f>
        <v>0</v>
      </c>
      <c r="O3245" s="253"/>
      <c r="P3245" s="203"/>
      <c r="Q3245" s="204"/>
      <c r="R3245" s="205"/>
      <c r="S3245" s="206"/>
      <c r="T3245" s="207"/>
      <c r="U3245" s="207"/>
      <c r="V3245" s="208"/>
      <c r="W3245" s="212"/>
    </row>
    <row r="3246" spans="1:23" s="46" customFormat="1" ht="15" customHeight="1">
      <c r="A3246" s="195"/>
      <c r="B3246" s="195"/>
      <c r="C3246" s="3">
        <v>83</v>
      </c>
      <c r="D3246" s="47"/>
      <c r="E3246" s="47"/>
      <c r="F3246" s="191"/>
      <c r="G3246" s="56"/>
      <c r="H3246" s="56"/>
      <c r="I3246" s="56"/>
      <c r="J3246" s="56"/>
      <c r="K3246" s="56"/>
      <c r="L3246" s="56"/>
      <c r="M3246" s="56"/>
      <c r="N3246" s="56"/>
      <c r="O3246" s="289"/>
      <c r="P3246" s="221"/>
      <c r="Q3246" s="221"/>
      <c r="R3246" s="221"/>
      <c r="S3246" s="221"/>
      <c r="T3246" s="221"/>
      <c r="U3246" s="221"/>
      <c r="V3246" s="221"/>
      <c r="W3246" s="221"/>
    </row>
    <row r="3247" spans="1:23" s="35" customFormat="1" ht="15" customHeight="1">
      <c r="A3247" s="2"/>
      <c r="B3247" s="2"/>
      <c r="C3247" s="3">
        <v>83</v>
      </c>
      <c r="D3247" s="47" t="s">
        <v>1976</v>
      </c>
      <c r="E3247" s="47"/>
      <c r="F3247" s="191"/>
      <c r="G3247" s="48"/>
      <c r="H3247" s="48"/>
      <c r="I3247" s="48"/>
      <c r="J3247" s="48"/>
      <c r="K3247" s="48"/>
      <c r="L3247" s="48"/>
      <c r="M3247" s="48"/>
      <c r="N3247" s="48"/>
      <c r="O3247" s="276"/>
      <c r="P3247" s="214">
        <v>2654</v>
      </c>
      <c r="Q3247" s="215">
        <v>83</v>
      </c>
      <c r="R3247" s="216" t="s">
        <v>2630</v>
      </c>
      <c r="S3247" s="217"/>
      <c r="T3247" s="218"/>
      <c r="U3247" s="218"/>
      <c r="V3247" s="219"/>
      <c r="W3247" s="219"/>
    </row>
    <row r="3248" spans="1:23" s="35" customFormat="1" ht="15" customHeight="1">
      <c r="A3248" s="2"/>
      <c r="B3248" s="2"/>
      <c r="C3248" s="3"/>
      <c r="D3248" s="47"/>
      <c r="E3248" s="47"/>
      <c r="F3248" s="191"/>
      <c r="G3248" s="48"/>
      <c r="H3248" s="48"/>
      <c r="I3248" s="48"/>
      <c r="J3248" s="48"/>
      <c r="K3248" s="48"/>
      <c r="L3248" s="48"/>
      <c r="M3248" s="48"/>
      <c r="N3248" s="48"/>
      <c r="O3248" s="276"/>
    </row>
    <row r="3249" spans="1:23" s="35" customFormat="1" ht="15" customHeight="1">
      <c r="A3249" s="2"/>
      <c r="B3249" s="2"/>
      <c r="C3249" s="3"/>
      <c r="D3249" s="47"/>
      <c r="E3249" s="47"/>
      <c r="F3249" s="191"/>
      <c r="G3249" s="48"/>
      <c r="H3249" s="48"/>
      <c r="I3249" s="48"/>
      <c r="J3249" s="48"/>
      <c r="K3249" s="48"/>
      <c r="L3249" s="48"/>
      <c r="M3249" s="48"/>
      <c r="N3249" s="48"/>
      <c r="O3249" s="276"/>
    </row>
    <row r="3250" spans="1:23" s="35" customFormat="1" ht="15" customHeight="1">
      <c r="A3250" s="2"/>
      <c r="B3250" s="2"/>
      <c r="C3250" s="3"/>
      <c r="D3250" s="47"/>
      <c r="E3250" s="47"/>
      <c r="F3250" s="191"/>
      <c r="G3250" s="48"/>
      <c r="H3250" s="48"/>
      <c r="I3250" s="48"/>
      <c r="J3250" s="48"/>
      <c r="K3250" s="48"/>
      <c r="L3250" s="48"/>
      <c r="M3250" s="48"/>
      <c r="N3250" s="48"/>
      <c r="O3250" s="276"/>
    </row>
    <row r="3251" spans="1:23" s="35" customFormat="1" ht="15" customHeight="1">
      <c r="A3251" s="2"/>
      <c r="B3251" s="2"/>
      <c r="C3251" s="3">
        <v>84</v>
      </c>
      <c r="D3251" s="47" t="s">
        <v>2396</v>
      </c>
      <c r="E3251" s="47"/>
      <c r="F3251" s="191"/>
      <c r="G3251" s="48"/>
      <c r="H3251" s="48"/>
      <c r="I3251" s="48"/>
      <c r="J3251" s="48"/>
      <c r="K3251" s="48"/>
      <c r="L3251" s="48"/>
      <c r="M3251" s="48"/>
      <c r="N3251" s="48"/>
      <c r="O3251" s="276"/>
    </row>
    <row r="3252" spans="1:23" s="35" customFormat="1" ht="15" customHeight="1">
      <c r="A3252" s="2"/>
      <c r="B3252" s="2"/>
      <c r="C3252" s="3">
        <v>84</v>
      </c>
      <c r="D3252" s="47"/>
      <c r="E3252" s="47"/>
      <c r="F3252" s="191"/>
      <c r="G3252" s="48"/>
      <c r="H3252" s="48"/>
      <c r="I3252" s="48"/>
      <c r="J3252" s="48"/>
      <c r="K3252" s="48"/>
      <c r="L3252" s="48"/>
      <c r="M3252" s="48"/>
      <c r="N3252" s="48"/>
      <c r="O3252" s="276"/>
    </row>
    <row r="3253" spans="1:23" ht="15" customHeight="1">
      <c r="C3253" s="3">
        <v>84</v>
      </c>
      <c r="D3253" s="54" t="s">
        <v>2874</v>
      </c>
      <c r="E3253" s="54"/>
      <c r="F3253" s="192"/>
      <c r="G3253" s="55"/>
      <c r="H3253" s="55"/>
      <c r="I3253" s="55"/>
      <c r="J3253" s="55">
        <v>0</v>
      </c>
      <c r="K3253" s="55">
        <v>0</v>
      </c>
      <c r="L3253" s="55"/>
      <c r="M3253" s="55">
        <v>0</v>
      </c>
      <c r="N3253" s="55">
        <f>+M3269</f>
        <v>465</v>
      </c>
      <c r="O3253" s="278"/>
      <c r="P3253" s="203"/>
      <c r="Q3253" s="204"/>
      <c r="R3253" s="205"/>
      <c r="S3253" s="206"/>
      <c r="T3253" s="207"/>
      <c r="U3253" s="207"/>
      <c r="V3253" s="208"/>
      <c r="W3253" s="212"/>
    </row>
    <row r="3254" spans="1:23" s="35" customFormat="1" ht="15" customHeight="1">
      <c r="A3254" s="2"/>
      <c r="B3254" s="2"/>
      <c r="C3254" s="3">
        <v>84</v>
      </c>
      <c r="D3254" s="47"/>
      <c r="E3254" s="47"/>
      <c r="F3254" s="191"/>
      <c r="G3254" s="48"/>
      <c r="H3254" s="48"/>
      <c r="I3254" s="48"/>
      <c r="J3254" s="48"/>
      <c r="K3254" s="48"/>
      <c r="L3254" s="48"/>
      <c r="M3254" s="48"/>
      <c r="N3254" s="48"/>
      <c r="O3254" s="276"/>
    </row>
    <row r="3255" spans="1:23" ht="15" customHeight="1">
      <c r="C3255" s="3">
        <v>84</v>
      </c>
      <c r="D3255" s="47" t="s">
        <v>2233</v>
      </c>
      <c r="G3255" s="26"/>
      <c r="H3255" s="26"/>
      <c r="I3255" s="26"/>
      <c r="J3255" s="26"/>
      <c r="K3255" s="26"/>
      <c r="L3255" s="26"/>
      <c r="M3255" s="26"/>
      <c r="N3255" s="26"/>
      <c r="P3255" s="214">
        <v>2655</v>
      </c>
      <c r="Q3255" s="215">
        <v>84</v>
      </c>
      <c r="R3255" s="216" t="s">
        <v>2610</v>
      </c>
      <c r="S3255" s="217"/>
      <c r="T3255" s="218"/>
      <c r="U3255" s="218"/>
      <c r="V3255" s="219"/>
      <c r="W3255" s="219"/>
    </row>
    <row r="3256" spans="1:23" ht="15" customHeight="1">
      <c r="C3256" s="3">
        <v>84</v>
      </c>
      <c r="G3256" s="26"/>
      <c r="H3256" s="26"/>
      <c r="I3256" s="26"/>
      <c r="J3256" s="26"/>
      <c r="K3256" s="26"/>
      <c r="L3256" s="26"/>
      <c r="M3256" s="26"/>
      <c r="N3256" s="26"/>
      <c r="P3256" s="214">
        <v>2656</v>
      </c>
      <c r="Q3256" s="215">
        <v>84</v>
      </c>
      <c r="R3256" s="216" t="s">
        <v>2611</v>
      </c>
      <c r="S3256" s="217"/>
      <c r="T3256" s="218"/>
      <c r="U3256" s="218"/>
      <c r="V3256" s="219"/>
      <c r="W3256" s="219"/>
    </row>
    <row r="3257" spans="1:23" s="21" customFormat="1" ht="15" customHeight="1">
      <c r="A3257" s="2"/>
      <c r="B3257" s="2" t="s">
        <v>2318</v>
      </c>
      <c r="C3257" s="3">
        <v>84</v>
      </c>
      <c r="D3257" s="54" t="s">
        <v>2209</v>
      </c>
      <c r="E3257" s="54"/>
      <c r="F3257" s="192"/>
      <c r="G3257" s="55">
        <f>+G3259</f>
        <v>0</v>
      </c>
      <c r="H3257" s="55">
        <f t="shared" ref="H3257:N3257" si="364">+H3259</f>
        <v>1335</v>
      </c>
      <c r="I3257" s="55">
        <f t="shared" si="364"/>
        <v>53</v>
      </c>
      <c r="J3257" s="55">
        <f t="shared" si="364"/>
        <v>5346</v>
      </c>
      <c r="K3257" s="55">
        <f t="shared" si="364"/>
        <v>470</v>
      </c>
      <c r="L3257" s="55">
        <f t="shared" si="364"/>
        <v>1380</v>
      </c>
      <c r="M3257" s="55">
        <f t="shared" si="364"/>
        <v>1675</v>
      </c>
      <c r="N3257" s="55">
        <f t="shared" si="364"/>
        <v>1675</v>
      </c>
      <c r="O3257" s="279"/>
      <c r="P3257" s="214">
        <v>2657</v>
      </c>
      <c r="Q3257" s="215">
        <v>84</v>
      </c>
      <c r="R3257" s="216" t="s">
        <v>2612</v>
      </c>
      <c r="S3257" s="217"/>
      <c r="T3257" s="218">
        <v>470</v>
      </c>
      <c r="U3257" s="218">
        <v>173.2</v>
      </c>
      <c r="V3257" s="219">
        <v>1553.06</v>
      </c>
      <c r="W3257" s="219">
        <v>330.44</v>
      </c>
    </row>
    <row r="3258" spans="1:23" s="57" customFormat="1" ht="15" customHeight="1">
      <c r="A3258" s="5"/>
      <c r="B3258" s="5"/>
      <c r="C3258" s="3">
        <v>84</v>
      </c>
      <c r="D3258" s="54"/>
      <c r="E3258" s="54"/>
      <c r="F3258" s="192"/>
      <c r="G3258" s="55"/>
      <c r="H3258" s="55"/>
      <c r="I3258" s="55"/>
      <c r="J3258" s="55"/>
      <c r="K3258" s="55"/>
      <c r="L3258" s="55"/>
      <c r="M3258" s="55"/>
      <c r="N3258" s="55"/>
      <c r="O3258" s="302"/>
      <c r="P3258" s="220"/>
      <c r="Q3258" s="220"/>
      <c r="R3258" s="220"/>
      <c r="S3258" s="220"/>
      <c r="T3258" s="220"/>
      <c r="U3258" s="220"/>
      <c r="V3258" s="220"/>
      <c r="W3258" s="220"/>
    </row>
    <row r="3259" spans="1:23" s="27" customFormat="1" ht="15" customHeight="1" thickBot="1">
      <c r="A3259" s="2"/>
      <c r="B3259" s="2" t="s">
        <v>2318</v>
      </c>
      <c r="C3259" s="3">
        <v>84</v>
      </c>
      <c r="D3259" s="68" t="str">
        <f>+D3275</f>
        <v>*** TOTAL FUND 84 REVENUES ***</v>
      </c>
      <c r="E3259" s="68"/>
      <c r="F3259" s="68">
        <f>+F3275</f>
        <v>0</v>
      </c>
      <c r="G3259" s="69">
        <f>+G3275</f>
        <v>0</v>
      </c>
      <c r="H3259" s="69">
        <f t="shared" ref="H3259:N3259" si="365">+H3275</f>
        <v>1335</v>
      </c>
      <c r="I3259" s="69">
        <f t="shared" si="365"/>
        <v>53</v>
      </c>
      <c r="J3259" s="69">
        <f t="shared" si="365"/>
        <v>5346</v>
      </c>
      <c r="K3259" s="69">
        <f t="shared" si="365"/>
        <v>470</v>
      </c>
      <c r="L3259" s="69">
        <f t="shared" si="365"/>
        <v>1380</v>
      </c>
      <c r="M3259" s="69">
        <f t="shared" si="365"/>
        <v>1675</v>
      </c>
      <c r="N3259" s="69">
        <f t="shared" si="365"/>
        <v>1675</v>
      </c>
      <c r="O3259" s="281"/>
      <c r="P3259" s="214">
        <v>2658</v>
      </c>
      <c r="Q3259" s="215">
        <v>84</v>
      </c>
      <c r="R3259" s="216" t="s">
        <v>2613</v>
      </c>
      <c r="S3259" s="217"/>
      <c r="T3259" s="218">
        <v>470</v>
      </c>
      <c r="U3259" s="218">
        <v>173.2</v>
      </c>
      <c r="V3259" s="219">
        <v>1553.06</v>
      </c>
      <c r="W3259" s="219">
        <v>330.44</v>
      </c>
    </row>
    <row r="3260" spans="1:23" s="46" customFormat="1" ht="15" customHeight="1" thickTop="1">
      <c r="A3260" s="5"/>
      <c r="B3260" s="5"/>
      <c r="C3260" s="3">
        <v>84</v>
      </c>
      <c r="D3260" s="47"/>
      <c r="E3260" s="47"/>
      <c r="F3260" s="47"/>
      <c r="G3260" s="56"/>
      <c r="H3260" s="56"/>
      <c r="I3260" s="56"/>
      <c r="J3260" s="56"/>
      <c r="K3260" s="56"/>
      <c r="L3260" s="56"/>
      <c r="M3260" s="56"/>
      <c r="N3260" s="56"/>
      <c r="O3260" s="289"/>
      <c r="P3260" s="221"/>
      <c r="Q3260" s="221"/>
      <c r="R3260" s="221"/>
      <c r="S3260" s="221"/>
      <c r="T3260" s="221"/>
      <c r="U3260" s="221"/>
      <c r="V3260" s="221"/>
      <c r="W3260" s="221"/>
    </row>
    <row r="3261" spans="1:23" ht="15" customHeight="1">
      <c r="C3261" s="3">
        <v>84</v>
      </c>
      <c r="D3261" s="47" t="s">
        <v>1977</v>
      </c>
      <c r="G3261" s="26"/>
      <c r="H3261" s="26"/>
      <c r="I3261" s="26"/>
      <c r="J3261" s="26"/>
      <c r="K3261" s="26"/>
      <c r="L3261" s="26"/>
      <c r="M3261" s="26"/>
      <c r="N3261" s="26"/>
      <c r="P3261" s="214">
        <v>2659</v>
      </c>
      <c r="Q3261" s="215">
        <v>84</v>
      </c>
      <c r="R3261" s="216" t="s">
        <v>2614</v>
      </c>
      <c r="S3261" s="217"/>
      <c r="T3261" s="218"/>
      <c r="U3261" s="218"/>
      <c r="V3261" s="219"/>
      <c r="W3261" s="219"/>
    </row>
    <row r="3262" spans="1:23" ht="15" customHeight="1">
      <c r="C3262" s="3">
        <v>84</v>
      </c>
      <c r="G3262" s="26"/>
      <c r="H3262" s="26"/>
      <c r="I3262" s="26"/>
      <c r="J3262" s="26"/>
      <c r="K3262" s="26"/>
      <c r="L3262" s="26"/>
      <c r="M3262" s="26"/>
      <c r="N3262" s="26"/>
      <c r="P3262" s="214">
        <v>2660</v>
      </c>
      <c r="Q3262" s="215">
        <v>84</v>
      </c>
      <c r="R3262" s="216" t="s">
        <v>2615</v>
      </c>
      <c r="S3262" s="217"/>
      <c r="T3262" s="218"/>
      <c r="U3262" s="218"/>
      <c r="V3262" s="219"/>
      <c r="W3262" s="219"/>
    </row>
    <row r="3263" spans="1:23" ht="15" customHeight="1">
      <c r="B3263" s="2" t="s">
        <v>2318</v>
      </c>
      <c r="C3263" s="3">
        <v>84</v>
      </c>
      <c r="D3263" s="47" t="s">
        <v>1667</v>
      </c>
      <c r="G3263" s="26">
        <f>+G3283</f>
        <v>0</v>
      </c>
      <c r="H3263" s="26">
        <f t="shared" ref="H3263:N3263" si="366">+H3283</f>
        <v>1789</v>
      </c>
      <c r="I3263" s="26">
        <f t="shared" si="366"/>
        <v>864</v>
      </c>
      <c r="J3263" s="26">
        <f t="shared" si="366"/>
        <v>1295</v>
      </c>
      <c r="K3263" s="26">
        <f t="shared" si="366"/>
        <v>470</v>
      </c>
      <c r="L3263" s="26">
        <f t="shared" si="366"/>
        <v>1020</v>
      </c>
      <c r="M3263" s="26">
        <f t="shared" si="366"/>
        <v>1210</v>
      </c>
      <c r="N3263" s="26">
        <f t="shared" si="366"/>
        <v>1200</v>
      </c>
      <c r="P3263" s="214">
        <v>2661</v>
      </c>
      <c r="Q3263" s="215">
        <v>84</v>
      </c>
      <c r="R3263" s="216" t="s">
        <v>1667</v>
      </c>
      <c r="S3263" s="217"/>
      <c r="T3263" s="218">
        <v>470</v>
      </c>
      <c r="U3263" s="218">
        <v>0</v>
      </c>
      <c r="V3263" s="219">
        <v>1020.2</v>
      </c>
      <c r="W3263" s="219">
        <v>217.06</v>
      </c>
    </row>
    <row r="3264" spans="1:23" ht="15" customHeight="1">
      <c r="C3264" s="3">
        <v>84</v>
      </c>
      <c r="D3264" s="47"/>
      <c r="G3264" s="26"/>
      <c r="H3264" s="26"/>
      <c r="I3264" s="26"/>
      <c r="J3264" s="26"/>
      <c r="K3264" s="26"/>
      <c r="L3264" s="26"/>
      <c r="M3264" s="26"/>
      <c r="N3264" s="26"/>
      <c r="P3264" s="222"/>
      <c r="Q3264" s="222"/>
      <c r="R3264" s="222"/>
      <c r="S3264" s="223"/>
      <c r="T3264" s="223"/>
      <c r="U3264" s="223"/>
      <c r="V3264" s="224"/>
      <c r="W3264" s="224"/>
    </row>
    <row r="3265" spans="1:23" s="37" customFormat="1" ht="15" customHeight="1">
      <c r="A3265" s="2"/>
      <c r="B3265" s="2" t="s">
        <v>2318</v>
      </c>
      <c r="C3265" s="3">
        <v>84</v>
      </c>
      <c r="D3265" s="54" t="str">
        <f>+D3285</f>
        <v>*** TOTAL FUND 84 EXPENSES ***</v>
      </c>
      <c r="E3265" s="54"/>
      <c r="F3265" s="54">
        <f t="shared" ref="F3265:N3265" si="367">+F3285</f>
        <v>0</v>
      </c>
      <c r="G3265" s="339">
        <f t="shared" si="367"/>
        <v>0</v>
      </c>
      <c r="H3265" s="339">
        <f t="shared" si="367"/>
        <v>1789</v>
      </c>
      <c r="I3265" s="339">
        <f t="shared" si="367"/>
        <v>864</v>
      </c>
      <c r="J3265" s="339">
        <f t="shared" si="367"/>
        <v>1295</v>
      </c>
      <c r="K3265" s="339">
        <f t="shared" si="367"/>
        <v>470</v>
      </c>
      <c r="L3265" s="339">
        <f t="shared" si="367"/>
        <v>1020</v>
      </c>
      <c r="M3265" s="339">
        <f t="shared" si="367"/>
        <v>1210</v>
      </c>
      <c r="N3265" s="339">
        <f t="shared" si="367"/>
        <v>1200</v>
      </c>
      <c r="O3265" s="303"/>
      <c r="P3265" s="214">
        <v>2662</v>
      </c>
      <c r="Q3265" s="215">
        <v>84</v>
      </c>
      <c r="R3265" s="216" t="s">
        <v>2618</v>
      </c>
      <c r="S3265" s="217"/>
      <c r="T3265" s="218">
        <v>470</v>
      </c>
      <c r="U3265" s="218">
        <v>0</v>
      </c>
      <c r="V3265" s="219">
        <v>1020.2</v>
      </c>
      <c r="W3265" s="219">
        <v>217.06</v>
      </c>
    </row>
    <row r="3266" spans="1:23" s="46" customFormat="1" ht="15" customHeight="1">
      <c r="A3266" s="5"/>
      <c r="B3266" s="5"/>
      <c r="C3266" s="3">
        <v>84</v>
      </c>
      <c r="D3266" s="47"/>
      <c r="E3266" s="47"/>
      <c r="F3266" s="47"/>
      <c r="G3266" s="56"/>
      <c r="H3266" s="56"/>
      <c r="I3266" s="56"/>
      <c r="J3266" s="56"/>
      <c r="K3266" s="56"/>
      <c r="L3266" s="56"/>
      <c r="M3266" s="56"/>
      <c r="N3266" s="56"/>
      <c r="O3266" s="289"/>
      <c r="P3266" s="221"/>
      <c r="Q3266" s="221"/>
      <c r="R3266" s="221"/>
      <c r="S3266" s="221"/>
      <c r="T3266" s="221"/>
      <c r="U3266" s="221"/>
      <c r="V3266" s="221"/>
      <c r="W3266" s="221"/>
    </row>
    <row r="3267" spans="1:23" s="33" customFormat="1" ht="15" customHeight="1" thickBot="1">
      <c r="A3267" s="2"/>
      <c r="B3267" s="2" t="s">
        <v>2318</v>
      </c>
      <c r="C3267" s="3">
        <v>84</v>
      </c>
      <c r="D3267" s="335" t="str">
        <f>+D3287</f>
        <v>*** FUND 84 REVENUES OVER(UNDER) EXPENSES ***</v>
      </c>
      <c r="E3267" s="336"/>
      <c r="F3267" s="336">
        <f>+F3287</f>
        <v>0</v>
      </c>
      <c r="G3267" s="336">
        <f>+G3287</f>
        <v>0</v>
      </c>
      <c r="H3267" s="336">
        <f t="shared" ref="H3267:N3267" si="368">+H3287</f>
        <v>-454</v>
      </c>
      <c r="I3267" s="336">
        <f t="shared" si="368"/>
        <v>-811</v>
      </c>
      <c r="J3267" s="336">
        <f t="shared" si="368"/>
        <v>4051</v>
      </c>
      <c r="K3267" s="336">
        <f t="shared" si="368"/>
        <v>0</v>
      </c>
      <c r="L3267" s="336">
        <f t="shared" si="368"/>
        <v>360</v>
      </c>
      <c r="M3267" s="336">
        <f t="shared" si="368"/>
        <v>465</v>
      </c>
      <c r="N3267" s="336">
        <f t="shared" si="368"/>
        <v>475</v>
      </c>
      <c r="O3267" s="301"/>
      <c r="P3267" s="214">
        <v>2663</v>
      </c>
      <c r="Q3267" s="215">
        <v>84</v>
      </c>
      <c r="R3267" s="216" t="s">
        <v>2619</v>
      </c>
      <c r="S3267" s="217"/>
      <c r="T3267" s="218">
        <v>0</v>
      </c>
      <c r="U3267" s="218">
        <v>173.2</v>
      </c>
      <c r="V3267" s="219">
        <v>532.86</v>
      </c>
      <c r="W3267" s="219">
        <v>0</v>
      </c>
    </row>
    <row r="3268" spans="1:23" s="46" customFormat="1" ht="15" customHeight="1" thickTop="1">
      <c r="A3268" s="5"/>
      <c r="B3268" s="5"/>
      <c r="C3268" s="3">
        <v>84</v>
      </c>
      <c r="D3268" s="58"/>
      <c r="E3268" s="56"/>
      <c r="F3268" s="56"/>
      <c r="G3268" s="56"/>
      <c r="H3268" s="56"/>
      <c r="I3268" s="56"/>
      <c r="J3268" s="56"/>
      <c r="K3268" s="56"/>
      <c r="L3268" s="56"/>
      <c r="M3268" s="56"/>
      <c r="N3268" s="56"/>
      <c r="O3268" s="289"/>
      <c r="P3268" s="221"/>
      <c r="Q3268" s="221"/>
      <c r="R3268" s="221"/>
      <c r="S3268" s="221"/>
      <c r="T3268" s="221"/>
      <c r="U3268" s="221"/>
      <c r="V3268" s="221"/>
      <c r="W3268" s="221"/>
    </row>
    <row r="3269" spans="1:23" ht="15" customHeight="1">
      <c r="C3269" s="3">
        <v>84</v>
      </c>
      <c r="D3269" s="54" t="s">
        <v>2875</v>
      </c>
      <c r="E3269" s="54"/>
      <c r="F3269" s="192"/>
      <c r="G3269" s="55"/>
      <c r="H3269" s="55"/>
      <c r="I3269" s="55"/>
      <c r="J3269" s="55"/>
      <c r="K3269" s="55">
        <f>+K3253+K3259-K3265</f>
        <v>0</v>
      </c>
      <c r="L3269" s="55"/>
      <c r="M3269" s="55">
        <f>+M3253+M3259-M3265</f>
        <v>465</v>
      </c>
      <c r="N3269" s="55">
        <f>+N3253+N3259-N3265</f>
        <v>940</v>
      </c>
      <c r="O3269" s="253"/>
      <c r="P3269" s="203"/>
      <c r="Q3269" s="204"/>
      <c r="R3269" s="205"/>
      <c r="S3269" s="206"/>
      <c r="T3269" s="207"/>
      <c r="U3269" s="207"/>
      <c r="V3269" s="208"/>
      <c r="W3269" s="212"/>
    </row>
    <row r="3270" spans="1:23" s="46" customFormat="1" ht="15" customHeight="1">
      <c r="A3270" s="195"/>
      <c r="B3270" s="195"/>
      <c r="C3270" s="3">
        <v>84</v>
      </c>
      <c r="D3270" s="58"/>
      <c r="E3270" s="56"/>
      <c r="F3270" s="56"/>
      <c r="G3270" s="56"/>
      <c r="H3270" s="56"/>
      <c r="I3270" s="56"/>
      <c r="J3270" s="56"/>
      <c r="K3270" s="56"/>
      <c r="L3270" s="56"/>
      <c r="M3270" s="26"/>
      <c r="N3270" s="26"/>
      <c r="O3270" s="289"/>
      <c r="P3270" s="221"/>
      <c r="Q3270" s="221"/>
      <c r="R3270" s="221"/>
      <c r="S3270" s="221"/>
      <c r="T3270" s="221"/>
      <c r="U3270" s="221"/>
      <c r="V3270" s="221"/>
      <c r="W3270" s="221"/>
    </row>
    <row r="3271" spans="1:23" ht="15" customHeight="1">
      <c r="C3271" s="3">
        <v>84</v>
      </c>
      <c r="D3271" s="15">
        <v>4330</v>
      </c>
      <c r="E3271" s="312" t="s">
        <v>1669</v>
      </c>
      <c r="G3271" s="26">
        <v>0</v>
      </c>
      <c r="H3271" s="26">
        <v>0</v>
      </c>
      <c r="I3271" s="26">
        <v>53</v>
      </c>
      <c r="J3271" s="26">
        <v>34</v>
      </c>
      <c r="K3271" s="26">
        <v>20</v>
      </c>
      <c r="L3271" s="26">
        <v>34</v>
      </c>
      <c r="M3271" s="26">
        <v>75</v>
      </c>
      <c r="N3271" s="26">
        <v>75</v>
      </c>
      <c r="O3271" s="285"/>
      <c r="P3271" s="214">
        <v>2664</v>
      </c>
      <c r="Q3271" s="215">
        <v>84</v>
      </c>
      <c r="R3271" s="216">
        <v>4330</v>
      </c>
      <c r="S3271" s="217" t="s">
        <v>1669</v>
      </c>
      <c r="T3271" s="218">
        <v>20</v>
      </c>
      <c r="U3271" s="218">
        <v>7.2</v>
      </c>
      <c r="V3271" s="219">
        <v>41.11</v>
      </c>
      <c r="W3271" s="219">
        <v>205.55</v>
      </c>
    </row>
    <row r="3272" spans="1:23" ht="15" customHeight="1">
      <c r="C3272" s="3">
        <v>84</v>
      </c>
      <c r="D3272" s="15">
        <v>4355.1040000000003</v>
      </c>
      <c r="E3272" s="312" t="s">
        <v>1924</v>
      </c>
      <c r="G3272" s="26">
        <v>0</v>
      </c>
      <c r="H3272" s="26">
        <v>0</v>
      </c>
      <c r="I3272" s="26">
        <v>0</v>
      </c>
      <c r="J3272" s="26">
        <v>5112</v>
      </c>
      <c r="K3272" s="26">
        <v>250</v>
      </c>
      <c r="L3272" s="26">
        <v>1346</v>
      </c>
      <c r="M3272" s="26">
        <v>1600</v>
      </c>
      <c r="N3272" s="26">
        <v>1600</v>
      </c>
      <c r="O3272" s="285"/>
      <c r="P3272" s="214">
        <v>2665</v>
      </c>
      <c r="Q3272" s="215">
        <v>84</v>
      </c>
      <c r="R3272" s="216">
        <v>4355.1040000000003</v>
      </c>
      <c r="S3272" s="217" t="s">
        <v>1924</v>
      </c>
      <c r="T3272" s="218">
        <v>250</v>
      </c>
      <c r="U3272" s="218">
        <v>166</v>
      </c>
      <c r="V3272" s="219">
        <v>1511.95</v>
      </c>
      <c r="W3272" s="219">
        <v>604.78</v>
      </c>
    </row>
    <row r="3273" spans="1:23" ht="15" customHeight="1">
      <c r="C3273" s="3">
        <v>84</v>
      </c>
      <c r="D3273" s="15">
        <v>4690</v>
      </c>
      <c r="E3273" s="312" t="s">
        <v>63</v>
      </c>
      <c r="G3273" s="26">
        <v>0</v>
      </c>
      <c r="H3273" s="26">
        <v>1335</v>
      </c>
      <c r="I3273" s="26">
        <v>0</v>
      </c>
      <c r="J3273" s="26">
        <v>200</v>
      </c>
      <c r="K3273" s="26">
        <v>200</v>
      </c>
      <c r="L3273" s="26">
        <v>0</v>
      </c>
      <c r="M3273" s="26">
        <v>0</v>
      </c>
      <c r="N3273" s="26">
        <v>0</v>
      </c>
      <c r="O3273" s="285"/>
      <c r="P3273" s="214">
        <v>2666</v>
      </c>
      <c r="Q3273" s="215">
        <v>84</v>
      </c>
      <c r="R3273" s="216">
        <v>4690</v>
      </c>
      <c r="S3273" s="217" t="s">
        <v>63</v>
      </c>
      <c r="T3273" s="218">
        <v>200</v>
      </c>
      <c r="U3273" s="218">
        <v>0</v>
      </c>
      <c r="V3273" s="219">
        <v>0</v>
      </c>
      <c r="W3273" s="219">
        <v>0</v>
      </c>
    </row>
    <row r="3274" spans="1:23" ht="15" customHeight="1">
      <c r="C3274" s="3">
        <v>84</v>
      </c>
      <c r="E3274" s="14"/>
      <c r="G3274" s="26"/>
      <c r="H3274" s="26"/>
      <c r="I3274" s="26"/>
      <c r="J3274" s="26"/>
      <c r="K3274" s="26"/>
      <c r="L3274" s="26"/>
      <c r="M3274" s="26"/>
      <c r="N3274" s="26"/>
      <c r="P3274" s="222"/>
      <c r="Q3274" s="222"/>
      <c r="R3274" s="222"/>
      <c r="S3274" s="223"/>
      <c r="T3274" s="223"/>
      <c r="U3274" s="223"/>
      <c r="V3274" s="224"/>
      <c r="W3274" s="224"/>
    </row>
    <row r="3275" spans="1:23" s="27" customFormat="1" ht="15" customHeight="1" thickBot="1">
      <c r="A3275" s="2"/>
      <c r="B3275" s="2" t="s">
        <v>2317</v>
      </c>
      <c r="C3275" s="3">
        <v>84</v>
      </c>
      <c r="D3275" s="68" t="s">
        <v>2307</v>
      </c>
      <c r="E3275" s="68"/>
      <c r="F3275" s="320"/>
      <c r="G3275" s="69">
        <f>SUM(G3270:G3274)</f>
        <v>0</v>
      </c>
      <c r="H3275" s="69">
        <f t="shared" ref="H3275:N3275" si="369">SUM(H3270:H3274)</f>
        <v>1335</v>
      </c>
      <c r="I3275" s="69">
        <f t="shared" si="369"/>
        <v>53</v>
      </c>
      <c r="J3275" s="69">
        <f t="shared" si="369"/>
        <v>5346</v>
      </c>
      <c r="K3275" s="69">
        <f t="shared" si="369"/>
        <v>470</v>
      </c>
      <c r="L3275" s="69">
        <f t="shared" si="369"/>
        <v>1380</v>
      </c>
      <c r="M3275" s="69">
        <f t="shared" si="369"/>
        <v>1675</v>
      </c>
      <c r="N3275" s="69">
        <f t="shared" si="369"/>
        <v>1675</v>
      </c>
      <c r="O3275" s="281"/>
      <c r="P3275" s="214">
        <v>2667</v>
      </c>
      <c r="Q3275" s="215">
        <v>84</v>
      </c>
      <c r="R3275" s="216" t="s">
        <v>2620</v>
      </c>
      <c r="S3275" s="217"/>
      <c r="T3275" s="218">
        <v>470</v>
      </c>
      <c r="U3275" s="218">
        <v>173.2</v>
      </c>
      <c r="V3275" s="219">
        <v>1553.06</v>
      </c>
      <c r="W3275" s="219">
        <v>330.44</v>
      </c>
    </row>
    <row r="3276" spans="1:23" s="46" customFormat="1" ht="15" customHeight="1" thickTop="1">
      <c r="A3276" s="5"/>
      <c r="B3276" s="5"/>
      <c r="C3276" s="3">
        <v>84</v>
      </c>
      <c r="D3276" s="47"/>
      <c r="E3276" s="47"/>
      <c r="F3276" s="191"/>
      <c r="G3276" s="56"/>
      <c r="H3276" s="56"/>
      <c r="I3276" s="56"/>
      <c r="J3276" s="56"/>
      <c r="K3276" s="56"/>
      <c r="L3276" s="56"/>
      <c r="M3276" s="56"/>
      <c r="N3276" s="56"/>
      <c r="O3276" s="289"/>
      <c r="P3276" s="221"/>
      <c r="Q3276" s="221"/>
      <c r="R3276" s="221"/>
      <c r="S3276" s="221"/>
      <c r="T3276" s="221"/>
      <c r="U3276" s="221"/>
      <c r="V3276" s="221"/>
      <c r="W3276" s="221"/>
    </row>
    <row r="3277" spans="1:23" ht="15" customHeight="1">
      <c r="C3277" s="3">
        <v>84</v>
      </c>
      <c r="D3277" s="47" t="s">
        <v>1972</v>
      </c>
      <c r="G3277" s="26"/>
      <c r="H3277" s="26"/>
      <c r="I3277" s="26"/>
      <c r="J3277" s="26"/>
      <c r="K3277" s="26"/>
      <c r="L3277" s="26"/>
      <c r="M3277" s="26"/>
      <c r="N3277" s="26"/>
      <c r="P3277" s="214">
        <v>2668</v>
      </c>
      <c r="Q3277" s="215">
        <v>84</v>
      </c>
      <c r="R3277" s="216" t="s">
        <v>104</v>
      </c>
      <c r="S3277" s="217"/>
      <c r="T3277" s="218"/>
      <c r="U3277" s="218"/>
      <c r="V3277" s="219"/>
      <c r="W3277" s="219"/>
    </row>
    <row r="3278" spans="1:23" ht="15" customHeight="1">
      <c r="C3278" s="3">
        <v>84</v>
      </c>
      <c r="G3278" s="26"/>
      <c r="H3278" s="26"/>
      <c r="I3278" s="26"/>
      <c r="J3278" s="26"/>
      <c r="K3278" s="26"/>
      <c r="L3278" s="26"/>
      <c r="M3278" s="26"/>
      <c r="N3278" s="26"/>
      <c r="P3278" s="214">
        <v>2669</v>
      </c>
      <c r="Q3278" s="215">
        <v>84</v>
      </c>
      <c r="R3278" s="216" t="s">
        <v>2624</v>
      </c>
      <c r="S3278" s="217"/>
      <c r="T3278" s="218"/>
      <c r="U3278" s="218"/>
      <c r="V3278" s="219"/>
      <c r="W3278" s="219"/>
    </row>
    <row r="3279" spans="1:23" ht="15" customHeight="1">
      <c r="C3279" s="3">
        <v>84</v>
      </c>
      <c r="D3279" s="15" t="s">
        <v>1925</v>
      </c>
      <c r="E3279" s="312" t="s">
        <v>1926</v>
      </c>
      <c r="G3279" s="26">
        <v>0</v>
      </c>
      <c r="H3279" s="26">
        <v>1789</v>
      </c>
      <c r="I3279" s="26">
        <v>864</v>
      </c>
      <c r="J3279" s="26">
        <v>1295</v>
      </c>
      <c r="K3279" s="26">
        <v>470</v>
      </c>
      <c r="L3279" s="26">
        <v>1020</v>
      </c>
      <c r="M3279" s="26">
        <v>1210</v>
      </c>
      <c r="N3279" s="26">
        <v>1200</v>
      </c>
      <c r="O3279" s="285"/>
      <c r="P3279" s="214">
        <v>2670</v>
      </c>
      <c r="Q3279" s="215">
        <v>84</v>
      </c>
      <c r="R3279" s="216" t="s">
        <v>1925</v>
      </c>
      <c r="S3279" s="217" t="s">
        <v>1926</v>
      </c>
      <c r="T3279" s="218">
        <v>470</v>
      </c>
      <c r="U3279" s="218">
        <v>0</v>
      </c>
      <c r="V3279" s="219">
        <v>1020.2</v>
      </c>
      <c r="W3279" s="219">
        <v>217.06</v>
      </c>
    </row>
    <row r="3280" spans="1:23" ht="15" customHeight="1">
      <c r="C3280" s="3">
        <v>84</v>
      </c>
      <c r="G3280" s="26"/>
      <c r="H3280" s="26"/>
      <c r="I3280" s="26"/>
      <c r="J3280" s="26"/>
      <c r="K3280" s="26"/>
      <c r="L3280" s="26"/>
      <c r="M3280" s="26"/>
      <c r="N3280" s="26"/>
      <c r="P3280" s="214">
        <v>2671</v>
      </c>
      <c r="Q3280" s="215">
        <v>84</v>
      </c>
      <c r="R3280" s="216" t="s">
        <v>2623</v>
      </c>
      <c r="S3280" s="217"/>
      <c r="T3280" s="218"/>
      <c r="U3280" s="218"/>
      <c r="V3280" s="219"/>
      <c r="W3280" s="219"/>
    </row>
    <row r="3281" spans="1:23" s="200" customFormat="1" ht="15" customHeight="1">
      <c r="A3281" s="196" t="s">
        <v>104</v>
      </c>
      <c r="B3281" s="196" t="s">
        <v>2317</v>
      </c>
      <c r="C3281" s="75">
        <v>84</v>
      </c>
      <c r="D3281" s="323" t="s">
        <v>1969</v>
      </c>
      <c r="E3281" s="323"/>
      <c r="F3281" s="324"/>
      <c r="G3281" s="325">
        <f>SUM(G3277:G3280)</f>
        <v>0</v>
      </c>
      <c r="H3281" s="325">
        <f t="shared" ref="H3281:N3281" si="370">SUM(H3277:H3280)</f>
        <v>1789</v>
      </c>
      <c r="I3281" s="325">
        <f t="shared" si="370"/>
        <v>864</v>
      </c>
      <c r="J3281" s="325">
        <f t="shared" si="370"/>
        <v>1295</v>
      </c>
      <c r="K3281" s="325">
        <f t="shared" si="370"/>
        <v>470</v>
      </c>
      <c r="L3281" s="325">
        <f t="shared" si="370"/>
        <v>1020</v>
      </c>
      <c r="M3281" s="325">
        <f t="shared" si="370"/>
        <v>1210</v>
      </c>
      <c r="N3281" s="325">
        <f t="shared" si="370"/>
        <v>1200</v>
      </c>
      <c r="O3281" s="287"/>
      <c r="P3281" s="214">
        <v>2672</v>
      </c>
      <c r="Q3281" s="215">
        <v>84</v>
      </c>
      <c r="R3281" s="216" t="s">
        <v>104</v>
      </c>
      <c r="S3281" s="217"/>
      <c r="T3281" s="218">
        <v>470</v>
      </c>
      <c r="U3281" s="218">
        <v>0</v>
      </c>
      <c r="V3281" s="219">
        <v>1020.2</v>
      </c>
      <c r="W3281" s="219">
        <v>0</v>
      </c>
    </row>
    <row r="3282" spans="1:23" ht="15" customHeight="1">
      <c r="C3282" s="3">
        <v>84</v>
      </c>
      <c r="G3282" s="26"/>
      <c r="H3282" s="26"/>
      <c r="I3282" s="26"/>
      <c r="J3282" s="26"/>
      <c r="K3282" s="26"/>
      <c r="L3282" s="26"/>
      <c r="M3282" s="26"/>
      <c r="N3282" s="26"/>
      <c r="P3282" s="214">
        <v>2673</v>
      </c>
      <c r="Q3282" s="215">
        <v>84</v>
      </c>
      <c r="R3282" s="216" t="s">
        <v>2623</v>
      </c>
      <c r="S3282" s="217"/>
      <c r="T3282" s="218"/>
      <c r="U3282" s="218"/>
      <c r="V3282" s="219"/>
      <c r="W3282" s="219"/>
    </row>
    <row r="3283" spans="1:23" ht="15" customHeight="1">
      <c r="B3283" s="2" t="s">
        <v>2317</v>
      </c>
      <c r="C3283" s="3">
        <v>84</v>
      </c>
      <c r="D3283" s="47" t="s">
        <v>1667</v>
      </c>
      <c r="G3283" s="26">
        <f>SUM(G3281:G3282)</f>
        <v>0</v>
      </c>
      <c r="H3283" s="26">
        <f t="shared" ref="H3283:N3283" si="371">SUM(H3281:H3282)</f>
        <v>1789</v>
      </c>
      <c r="I3283" s="26">
        <f t="shared" si="371"/>
        <v>864</v>
      </c>
      <c r="J3283" s="26">
        <f t="shared" si="371"/>
        <v>1295</v>
      </c>
      <c r="K3283" s="26">
        <f t="shared" si="371"/>
        <v>470</v>
      </c>
      <c r="L3283" s="26">
        <f t="shared" si="371"/>
        <v>1020</v>
      </c>
      <c r="M3283" s="26">
        <f t="shared" si="371"/>
        <v>1210</v>
      </c>
      <c r="N3283" s="26">
        <f t="shared" si="371"/>
        <v>1200</v>
      </c>
      <c r="P3283" s="214">
        <v>2674</v>
      </c>
      <c r="Q3283" s="215">
        <v>84</v>
      </c>
      <c r="R3283" s="216" t="s">
        <v>1667</v>
      </c>
      <c r="S3283" s="217"/>
      <c r="T3283" s="218">
        <v>470</v>
      </c>
      <c r="U3283" s="218">
        <v>0</v>
      </c>
      <c r="V3283" s="219">
        <v>1020.2</v>
      </c>
      <c r="W3283" s="219">
        <v>217.06</v>
      </c>
    </row>
    <row r="3284" spans="1:23" ht="15" customHeight="1">
      <c r="C3284" s="3">
        <v>84</v>
      </c>
      <c r="D3284" s="47"/>
      <c r="G3284" s="26"/>
      <c r="H3284" s="26"/>
      <c r="I3284" s="26"/>
      <c r="J3284" s="26"/>
      <c r="K3284" s="26"/>
      <c r="L3284" s="26"/>
      <c r="M3284" s="26"/>
      <c r="N3284" s="26"/>
      <c r="P3284" s="222"/>
      <c r="Q3284" s="222"/>
      <c r="R3284" s="222"/>
      <c r="S3284" s="223"/>
      <c r="T3284" s="223"/>
      <c r="U3284" s="223"/>
      <c r="V3284" s="224"/>
      <c r="W3284" s="224"/>
    </row>
    <row r="3285" spans="1:23" s="31" customFormat="1" ht="15" customHeight="1">
      <c r="A3285" s="2"/>
      <c r="B3285" s="2" t="s">
        <v>2317</v>
      </c>
      <c r="C3285" s="3">
        <v>84</v>
      </c>
      <c r="D3285" s="54" t="s">
        <v>2284</v>
      </c>
      <c r="E3285" s="54"/>
      <c r="F3285" s="192"/>
      <c r="G3285" s="339">
        <f>SUM(G3283:G3284)</f>
        <v>0</v>
      </c>
      <c r="H3285" s="339">
        <f t="shared" ref="H3285:N3285" si="372">SUM(H3283:H3284)</f>
        <v>1789</v>
      </c>
      <c r="I3285" s="339">
        <f t="shared" si="372"/>
        <v>864</v>
      </c>
      <c r="J3285" s="339">
        <f t="shared" si="372"/>
        <v>1295</v>
      </c>
      <c r="K3285" s="339">
        <f t="shared" si="372"/>
        <v>470</v>
      </c>
      <c r="L3285" s="339">
        <f t="shared" si="372"/>
        <v>1020</v>
      </c>
      <c r="M3285" s="339">
        <f t="shared" si="372"/>
        <v>1210</v>
      </c>
      <c r="N3285" s="339">
        <f t="shared" si="372"/>
        <v>1200</v>
      </c>
      <c r="O3285" s="305"/>
      <c r="P3285" s="214">
        <v>2675</v>
      </c>
      <c r="Q3285" s="215">
        <v>84</v>
      </c>
      <c r="R3285" s="216" t="s">
        <v>2618</v>
      </c>
      <c r="S3285" s="217"/>
      <c r="T3285" s="218">
        <v>470</v>
      </c>
      <c r="U3285" s="218">
        <v>0</v>
      </c>
      <c r="V3285" s="219">
        <v>1020.2</v>
      </c>
      <c r="W3285" s="219">
        <v>217.06</v>
      </c>
    </row>
    <row r="3286" spans="1:23" s="46" customFormat="1" ht="15" customHeight="1">
      <c r="A3286" s="5"/>
      <c r="B3286" s="5"/>
      <c r="C3286" s="3">
        <v>84</v>
      </c>
      <c r="D3286" s="47"/>
      <c r="E3286" s="47"/>
      <c r="F3286" s="191"/>
      <c r="G3286" s="56"/>
      <c r="H3286" s="56"/>
      <c r="I3286" s="56"/>
      <c r="J3286" s="56"/>
      <c r="K3286" s="56"/>
      <c r="L3286" s="56"/>
      <c r="M3286" s="56"/>
      <c r="N3286" s="56"/>
      <c r="O3286" s="289"/>
      <c r="P3286" s="221"/>
      <c r="Q3286" s="221"/>
      <c r="R3286" s="221"/>
      <c r="S3286" s="221"/>
      <c r="T3286" s="221"/>
      <c r="U3286" s="221"/>
      <c r="V3286" s="221"/>
      <c r="W3286" s="221"/>
    </row>
    <row r="3287" spans="1:23" s="33" customFormat="1" ht="15" customHeight="1" thickBot="1">
      <c r="A3287" s="2"/>
      <c r="B3287" s="2" t="s">
        <v>2317</v>
      </c>
      <c r="C3287" s="3">
        <v>84</v>
      </c>
      <c r="D3287" s="329" t="s">
        <v>2259</v>
      </c>
      <c r="E3287" s="329"/>
      <c r="F3287" s="330"/>
      <c r="G3287" s="336">
        <f>+G3275-G3285</f>
        <v>0</v>
      </c>
      <c r="H3287" s="336">
        <f t="shared" ref="H3287:N3287" si="373">+H3275-H3285</f>
        <v>-454</v>
      </c>
      <c r="I3287" s="336">
        <f t="shared" si="373"/>
        <v>-811</v>
      </c>
      <c r="J3287" s="336">
        <f t="shared" si="373"/>
        <v>4051</v>
      </c>
      <c r="K3287" s="336">
        <f t="shared" si="373"/>
        <v>0</v>
      </c>
      <c r="L3287" s="336">
        <f t="shared" si="373"/>
        <v>360</v>
      </c>
      <c r="M3287" s="336">
        <f t="shared" si="373"/>
        <v>465</v>
      </c>
      <c r="N3287" s="336">
        <f t="shared" si="373"/>
        <v>475</v>
      </c>
      <c r="O3287" s="301"/>
      <c r="P3287" s="214">
        <v>2676</v>
      </c>
      <c r="Q3287" s="215">
        <v>84</v>
      </c>
      <c r="R3287" s="216" t="s">
        <v>2619</v>
      </c>
      <c r="S3287" s="217"/>
      <c r="T3287" s="218">
        <v>0</v>
      </c>
      <c r="U3287" s="218">
        <v>173.2</v>
      </c>
      <c r="V3287" s="219">
        <v>532.86</v>
      </c>
      <c r="W3287" s="219">
        <v>0</v>
      </c>
    </row>
    <row r="3288" spans="1:23" s="46" customFormat="1" ht="15" customHeight="1" thickTop="1">
      <c r="A3288" s="5"/>
      <c r="B3288" s="5"/>
      <c r="C3288" s="3">
        <v>84</v>
      </c>
      <c r="D3288" s="47"/>
      <c r="E3288" s="47"/>
      <c r="F3288" s="191"/>
      <c r="G3288" s="56"/>
      <c r="H3288" s="56"/>
      <c r="I3288" s="56"/>
      <c r="J3288" s="56"/>
      <c r="K3288" s="56"/>
      <c r="L3288" s="56"/>
      <c r="M3288" s="56"/>
      <c r="N3288" s="56"/>
      <c r="O3288" s="289"/>
      <c r="P3288" s="221"/>
      <c r="Q3288" s="221"/>
      <c r="R3288" s="221"/>
      <c r="S3288" s="221"/>
      <c r="T3288" s="221"/>
      <c r="U3288" s="221"/>
      <c r="V3288" s="221"/>
      <c r="W3288" s="221"/>
    </row>
    <row r="3289" spans="1:23" ht="15" customHeight="1">
      <c r="C3289" s="3">
        <v>84</v>
      </c>
      <c r="D3289" s="54" t="s">
        <v>2875</v>
      </c>
      <c r="E3289" s="54"/>
      <c r="F3289" s="192"/>
      <c r="G3289" s="55"/>
      <c r="H3289" s="55"/>
      <c r="I3289" s="55"/>
      <c r="J3289" s="55"/>
      <c r="K3289" s="55">
        <f>+K3269</f>
        <v>0</v>
      </c>
      <c r="L3289" s="55"/>
      <c r="M3289" s="55">
        <f>+M3269</f>
        <v>465</v>
      </c>
      <c r="N3289" s="55">
        <f>+N3269</f>
        <v>940</v>
      </c>
      <c r="O3289" s="253"/>
      <c r="P3289" s="203"/>
      <c r="Q3289" s="204"/>
      <c r="R3289" s="205"/>
      <c r="S3289" s="206"/>
      <c r="T3289" s="207"/>
      <c r="U3289" s="207"/>
      <c r="V3289" s="208"/>
      <c r="W3289" s="212"/>
    </row>
    <row r="3290" spans="1:23" s="46" customFormat="1" ht="15" customHeight="1">
      <c r="A3290" s="195"/>
      <c r="B3290" s="195"/>
      <c r="C3290" s="3">
        <v>84</v>
      </c>
      <c r="D3290" s="47"/>
      <c r="E3290" s="47"/>
      <c r="F3290" s="191"/>
      <c r="G3290" s="56"/>
      <c r="H3290" s="56"/>
      <c r="I3290" s="56"/>
      <c r="J3290" s="56"/>
      <c r="K3290" s="56"/>
      <c r="L3290" s="56"/>
      <c r="M3290" s="56"/>
      <c r="N3290" s="56"/>
      <c r="O3290" s="289"/>
      <c r="P3290" s="221"/>
      <c r="Q3290" s="221"/>
      <c r="R3290" s="221"/>
      <c r="S3290" s="221"/>
      <c r="T3290" s="221"/>
      <c r="U3290" s="221"/>
      <c r="V3290" s="221"/>
      <c r="W3290" s="221"/>
    </row>
    <row r="3291" spans="1:23" s="35" customFormat="1" ht="15" customHeight="1">
      <c r="A3291" s="2"/>
      <c r="B3291" s="2"/>
      <c r="C3291" s="3">
        <v>84</v>
      </c>
      <c r="D3291" s="47" t="s">
        <v>1976</v>
      </c>
      <c r="E3291" s="47"/>
      <c r="F3291" s="191"/>
      <c r="G3291" s="48"/>
      <c r="H3291" s="48"/>
      <c r="I3291" s="48"/>
      <c r="J3291" s="48"/>
      <c r="K3291" s="48"/>
      <c r="L3291" s="48"/>
      <c r="M3291" s="48"/>
      <c r="N3291" s="48"/>
      <c r="O3291" s="276"/>
      <c r="P3291" s="214">
        <v>2677</v>
      </c>
      <c r="Q3291" s="215">
        <v>84</v>
      </c>
      <c r="R3291" s="216" t="s">
        <v>2630</v>
      </c>
      <c r="S3291" s="217"/>
      <c r="T3291" s="218"/>
      <c r="U3291" s="218"/>
      <c r="V3291" s="219"/>
      <c r="W3291" s="219"/>
    </row>
    <row r="3292" spans="1:23" s="35" customFormat="1" ht="15" customHeight="1">
      <c r="A3292" s="2"/>
      <c r="B3292" s="2"/>
      <c r="C3292" s="3"/>
      <c r="D3292" s="47"/>
      <c r="E3292" s="47"/>
      <c r="F3292" s="191"/>
      <c r="G3292" s="48"/>
      <c r="H3292" s="48"/>
      <c r="I3292" s="48"/>
      <c r="J3292" s="48"/>
      <c r="K3292" s="48"/>
      <c r="L3292" s="48"/>
      <c r="M3292" s="48"/>
      <c r="N3292" s="48"/>
      <c r="O3292" s="276"/>
    </row>
    <row r="3293" spans="1:23" s="35" customFormat="1" ht="15" customHeight="1">
      <c r="A3293" s="2"/>
      <c r="B3293" s="2"/>
      <c r="C3293" s="3"/>
      <c r="D3293" s="47"/>
      <c r="E3293" s="47"/>
      <c r="F3293" s="191"/>
      <c r="G3293" s="48"/>
      <c r="H3293" s="48"/>
      <c r="I3293" s="48"/>
      <c r="J3293" s="48"/>
      <c r="K3293" s="48"/>
      <c r="L3293" s="48"/>
      <c r="M3293" s="48"/>
      <c r="N3293" s="48"/>
      <c r="O3293" s="276"/>
    </row>
    <row r="3294" spans="1:23" s="35" customFormat="1" ht="15" customHeight="1">
      <c r="A3294" s="2"/>
      <c r="B3294" s="2"/>
      <c r="C3294" s="3"/>
      <c r="D3294" s="47"/>
      <c r="E3294" s="47"/>
      <c r="F3294" s="191"/>
      <c r="G3294" s="48"/>
      <c r="H3294" s="48"/>
      <c r="I3294" s="48"/>
      <c r="J3294" s="48"/>
      <c r="K3294" s="48"/>
      <c r="L3294" s="48"/>
      <c r="M3294" s="48"/>
      <c r="N3294" s="48"/>
      <c r="O3294" s="276"/>
    </row>
    <row r="3295" spans="1:23" s="35" customFormat="1" ht="15" customHeight="1">
      <c r="A3295" s="2"/>
      <c r="B3295" s="2"/>
      <c r="C3295" s="3">
        <v>85</v>
      </c>
      <c r="D3295" s="47" t="s">
        <v>2397</v>
      </c>
      <c r="E3295" s="47"/>
      <c r="F3295" s="191"/>
      <c r="G3295" s="48"/>
      <c r="H3295" s="48"/>
      <c r="I3295" s="48"/>
      <c r="J3295" s="48"/>
      <c r="K3295" s="48"/>
      <c r="L3295" s="48"/>
      <c r="M3295" s="48"/>
      <c r="N3295" s="48"/>
      <c r="O3295" s="276"/>
    </row>
    <row r="3296" spans="1:23" s="35" customFormat="1" ht="15" customHeight="1">
      <c r="A3296" s="2"/>
      <c r="B3296" s="2"/>
      <c r="C3296" s="3">
        <v>85</v>
      </c>
      <c r="D3296" s="47"/>
      <c r="E3296" s="47"/>
      <c r="F3296" s="191"/>
      <c r="G3296" s="48"/>
      <c r="H3296" s="48"/>
      <c r="I3296" s="48"/>
      <c r="J3296" s="48"/>
      <c r="K3296" s="48"/>
      <c r="L3296" s="48"/>
      <c r="M3296" s="48"/>
      <c r="N3296" s="48"/>
      <c r="O3296" s="276"/>
    </row>
    <row r="3297" spans="1:23" ht="15" customHeight="1">
      <c r="C3297" s="3">
        <v>85</v>
      </c>
      <c r="D3297" s="54" t="s">
        <v>2874</v>
      </c>
      <c r="E3297" s="54"/>
      <c r="F3297" s="192"/>
      <c r="G3297" s="55"/>
      <c r="H3297" s="55"/>
      <c r="I3297" s="55"/>
      <c r="J3297" s="55"/>
      <c r="K3297" s="55">
        <v>6681.03</v>
      </c>
      <c r="L3297" s="55"/>
      <c r="M3297" s="55">
        <v>6681.03</v>
      </c>
      <c r="N3297" s="55">
        <f>+M3313</f>
        <v>7856.03</v>
      </c>
      <c r="O3297" s="278"/>
      <c r="P3297" s="203"/>
      <c r="Q3297" s="204"/>
      <c r="R3297" s="205"/>
      <c r="S3297" s="206"/>
      <c r="T3297" s="207"/>
      <c r="U3297" s="207"/>
      <c r="V3297" s="208"/>
      <c r="W3297" s="212"/>
    </row>
    <row r="3298" spans="1:23" s="35" customFormat="1" ht="15" customHeight="1">
      <c r="A3298" s="2"/>
      <c r="B3298" s="2"/>
      <c r="C3298" s="3">
        <v>85</v>
      </c>
      <c r="D3298" s="47"/>
      <c r="E3298" s="47"/>
      <c r="F3298" s="191"/>
      <c r="G3298" s="48"/>
      <c r="H3298" s="48"/>
      <c r="I3298" s="48"/>
      <c r="J3298" s="48"/>
      <c r="K3298" s="48"/>
      <c r="L3298" s="48"/>
      <c r="M3298" s="48"/>
      <c r="N3298" s="48"/>
      <c r="O3298" s="276"/>
    </row>
    <row r="3299" spans="1:23" ht="15" customHeight="1">
      <c r="C3299" s="3">
        <v>85</v>
      </c>
      <c r="D3299" s="47" t="s">
        <v>2234</v>
      </c>
      <c r="G3299" s="26"/>
      <c r="H3299" s="26"/>
      <c r="I3299" s="26"/>
      <c r="J3299" s="26"/>
      <c r="K3299" s="26"/>
      <c r="L3299" s="26"/>
      <c r="M3299" s="26"/>
      <c r="N3299" s="26"/>
      <c r="P3299" s="214">
        <v>2678</v>
      </c>
      <c r="Q3299" s="215">
        <v>85</v>
      </c>
      <c r="R3299" s="216" t="s">
        <v>2610</v>
      </c>
      <c r="S3299" s="217"/>
      <c r="T3299" s="218"/>
      <c r="U3299" s="218"/>
      <c r="V3299" s="219"/>
      <c r="W3299" s="219"/>
    </row>
    <row r="3300" spans="1:23" ht="15" customHeight="1">
      <c r="C3300" s="3">
        <v>85</v>
      </c>
      <c r="G3300" s="26"/>
      <c r="H3300" s="26"/>
      <c r="I3300" s="26"/>
      <c r="J3300" s="26"/>
      <c r="K3300" s="26"/>
      <c r="L3300" s="26"/>
      <c r="M3300" s="26"/>
      <c r="N3300" s="26"/>
      <c r="P3300" s="214">
        <v>2679</v>
      </c>
      <c r="Q3300" s="215">
        <v>85</v>
      </c>
      <c r="R3300" s="216" t="s">
        <v>2611</v>
      </c>
      <c r="S3300" s="217"/>
      <c r="T3300" s="218"/>
      <c r="U3300" s="218"/>
      <c r="V3300" s="219"/>
      <c r="W3300" s="219"/>
    </row>
    <row r="3301" spans="1:23" s="21" customFormat="1" ht="15" customHeight="1">
      <c r="A3301" s="2"/>
      <c r="B3301" s="2" t="s">
        <v>2318</v>
      </c>
      <c r="C3301" s="3">
        <v>85</v>
      </c>
      <c r="D3301" s="54" t="s">
        <v>2210</v>
      </c>
      <c r="E3301" s="54"/>
      <c r="F3301" s="192"/>
      <c r="G3301" s="55">
        <f>+G3303</f>
        <v>962</v>
      </c>
      <c r="H3301" s="55">
        <f t="shared" ref="H3301:N3301" si="374">+H3303</f>
        <v>970</v>
      </c>
      <c r="I3301" s="55">
        <f t="shared" si="374"/>
        <v>1196</v>
      </c>
      <c r="J3301" s="55">
        <f t="shared" si="374"/>
        <v>1139</v>
      </c>
      <c r="K3301" s="55">
        <f t="shared" si="374"/>
        <v>1275</v>
      </c>
      <c r="L3301" s="55">
        <f t="shared" si="374"/>
        <v>781</v>
      </c>
      <c r="M3301" s="55">
        <f t="shared" si="374"/>
        <v>1275</v>
      </c>
      <c r="N3301" s="55">
        <f t="shared" si="374"/>
        <v>1275</v>
      </c>
      <c r="O3301" s="279"/>
      <c r="P3301" s="214">
        <v>2680</v>
      </c>
      <c r="Q3301" s="215">
        <v>85</v>
      </c>
      <c r="R3301" s="216" t="s">
        <v>2612</v>
      </c>
      <c r="S3301" s="217"/>
      <c r="T3301" s="218">
        <v>1275</v>
      </c>
      <c r="U3301" s="218">
        <v>86.54</v>
      </c>
      <c r="V3301" s="219">
        <v>867.69</v>
      </c>
      <c r="W3301" s="219">
        <v>68.05</v>
      </c>
    </row>
    <row r="3302" spans="1:23" s="57" customFormat="1" ht="15" customHeight="1">
      <c r="A3302" s="5"/>
      <c r="B3302" s="5"/>
      <c r="C3302" s="3">
        <v>85</v>
      </c>
      <c r="D3302" s="54"/>
      <c r="E3302" s="54"/>
      <c r="F3302" s="192"/>
      <c r="G3302" s="55"/>
      <c r="H3302" s="55"/>
      <c r="I3302" s="55"/>
      <c r="J3302" s="55"/>
      <c r="K3302" s="55"/>
      <c r="L3302" s="55"/>
      <c r="M3302" s="55"/>
      <c r="N3302" s="55"/>
      <c r="O3302" s="302"/>
      <c r="P3302" s="220"/>
      <c r="Q3302" s="220"/>
      <c r="R3302" s="220"/>
      <c r="S3302" s="220"/>
      <c r="T3302" s="220"/>
      <c r="U3302" s="220"/>
      <c r="V3302" s="220"/>
      <c r="W3302" s="220"/>
    </row>
    <row r="3303" spans="1:23" s="27" customFormat="1" ht="15" customHeight="1" thickBot="1">
      <c r="A3303" s="2"/>
      <c r="B3303" s="2" t="s">
        <v>2318</v>
      </c>
      <c r="C3303" s="3">
        <v>85</v>
      </c>
      <c r="D3303" s="68" t="str">
        <f>+D3318</f>
        <v>*** TOTAL FUND 85 REVENUES ***</v>
      </c>
      <c r="E3303" s="68"/>
      <c r="F3303" s="68">
        <f>+F3318</f>
        <v>0</v>
      </c>
      <c r="G3303" s="69">
        <f>+G3318</f>
        <v>962</v>
      </c>
      <c r="H3303" s="69">
        <f t="shared" ref="H3303:N3303" si="375">+H3318</f>
        <v>970</v>
      </c>
      <c r="I3303" s="69">
        <f t="shared" si="375"/>
        <v>1196</v>
      </c>
      <c r="J3303" s="69">
        <f t="shared" si="375"/>
        <v>1139</v>
      </c>
      <c r="K3303" s="69">
        <f t="shared" si="375"/>
        <v>1275</v>
      </c>
      <c r="L3303" s="69">
        <f t="shared" si="375"/>
        <v>781</v>
      </c>
      <c r="M3303" s="69">
        <f t="shared" si="375"/>
        <v>1275</v>
      </c>
      <c r="N3303" s="69">
        <f t="shared" si="375"/>
        <v>1275</v>
      </c>
      <c r="O3303" s="281"/>
      <c r="P3303" s="214">
        <v>2681</v>
      </c>
      <c r="Q3303" s="215">
        <v>85</v>
      </c>
      <c r="R3303" s="216" t="s">
        <v>2613</v>
      </c>
      <c r="S3303" s="217"/>
      <c r="T3303" s="218">
        <v>1275</v>
      </c>
      <c r="U3303" s="218">
        <v>86.54</v>
      </c>
      <c r="V3303" s="219">
        <v>867.69</v>
      </c>
      <c r="W3303" s="219">
        <v>68.05</v>
      </c>
    </row>
    <row r="3304" spans="1:23" s="46" customFormat="1" ht="15" customHeight="1" thickTop="1">
      <c r="A3304" s="5"/>
      <c r="B3304" s="5"/>
      <c r="C3304" s="3">
        <v>85</v>
      </c>
      <c r="D3304" s="47"/>
      <c r="E3304" s="47"/>
      <c r="F3304" s="47"/>
      <c r="G3304" s="56"/>
      <c r="H3304" s="56"/>
      <c r="I3304" s="56"/>
      <c r="J3304" s="56"/>
      <c r="K3304" s="56"/>
      <c r="L3304" s="56"/>
      <c r="M3304" s="56"/>
      <c r="N3304" s="56"/>
      <c r="O3304" s="289"/>
      <c r="P3304" s="214">
        <v>2682</v>
      </c>
      <c r="Q3304" s="215">
        <v>85</v>
      </c>
      <c r="R3304" s="216" t="s">
        <v>2614</v>
      </c>
      <c r="S3304" s="217"/>
      <c r="T3304" s="218"/>
      <c r="U3304" s="218"/>
      <c r="V3304" s="219"/>
      <c r="W3304" s="219"/>
    </row>
    <row r="3305" spans="1:23" ht="15" customHeight="1">
      <c r="C3305" s="3">
        <v>85</v>
      </c>
      <c r="D3305" s="47" t="s">
        <v>1977</v>
      </c>
      <c r="G3305" s="26"/>
      <c r="H3305" s="26"/>
      <c r="I3305" s="26"/>
      <c r="J3305" s="26"/>
      <c r="K3305" s="26"/>
      <c r="L3305" s="26"/>
      <c r="M3305" s="26"/>
      <c r="N3305" s="26"/>
      <c r="P3305" s="214">
        <v>2683</v>
      </c>
      <c r="Q3305" s="215">
        <v>85</v>
      </c>
      <c r="R3305" s="216" t="s">
        <v>2615</v>
      </c>
      <c r="S3305" s="217"/>
      <c r="T3305" s="218"/>
      <c r="U3305" s="218"/>
      <c r="V3305" s="219"/>
      <c r="W3305" s="219"/>
    </row>
    <row r="3306" spans="1:23" ht="15" customHeight="1">
      <c r="C3306" s="3">
        <v>85</v>
      </c>
      <c r="G3306" s="26"/>
      <c r="H3306" s="26"/>
      <c r="I3306" s="26"/>
      <c r="J3306" s="26"/>
      <c r="K3306" s="26"/>
      <c r="L3306" s="26"/>
      <c r="M3306" s="26"/>
      <c r="N3306" s="26"/>
      <c r="P3306" s="222"/>
      <c r="Q3306" s="222"/>
      <c r="R3306" s="222"/>
      <c r="S3306" s="223"/>
      <c r="T3306" s="223"/>
      <c r="U3306" s="223"/>
      <c r="V3306" s="224"/>
      <c r="W3306" s="224"/>
    </row>
    <row r="3307" spans="1:23" ht="15" customHeight="1">
      <c r="B3307" s="2" t="s">
        <v>2318</v>
      </c>
      <c r="C3307" s="3">
        <v>85</v>
      </c>
      <c r="D3307" s="47" t="s">
        <v>1667</v>
      </c>
      <c r="G3307" s="26">
        <f>+G3326</f>
        <v>375</v>
      </c>
      <c r="H3307" s="26">
        <f t="shared" ref="H3307:N3307" si="376">+H3326</f>
        <v>425</v>
      </c>
      <c r="I3307" s="26">
        <f t="shared" si="376"/>
        <v>565</v>
      </c>
      <c r="J3307" s="26">
        <f t="shared" si="376"/>
        <v>244</v>
      </c>
      <c r="K3307" s="26">
        <f t="shared" si="376"/>
        <v>1275</v>
      </c>
      <c r="L3307" s="26">
        <f t="shared" si="376"/>
        <v>0</v>
      </c>
      <c r="M3307" s="26">
        <f t="shared" si="376"/>
        <v>100</v>
      </c>
      <c r="N3307" s="26">
        <f t="shared" si="376"/>
        <v>100</v>
      </c>
      <c r="P3307" s="214">
        <v>2684</v>
      </c>
      <c r="Q3307" s="215">
        <v>85</v>
      </c>
      <c r="R3307" s="216" t="s">
        <v>1667</v>
      </c>
      <c r="S3307" s="217"/>
      <c r="T3307" s="218">
        <v>1275</v>
      </c>
      <c r="U3307" s="218">
        <v>51.42</v>
      </c>
      <c r="V3307" s="219">
        <v>51.42</v>
      </c>
      <c r="W3307" s="219">
        <v>4.03</v>
      </c>
    </row>
    <row r="3308" spans="1:23" ht="15" customHeight="1">
      <c r="C3308" s="3">
        <v>85</v>
      </c>
      <c r="D3308" s="47"/>
      <c r="G3308" s="26"/>
      <c r="H3308" s="26"/>
      <c r="I3308" s="26"/>
      <c r="J3308" s="26"/>
      <c r="K3308" s="26"/>
      <c r="L3308" s="26"/>
      <c r="M3308" s="26"/>
      <c r="N3308" s="26"/>
      <c r="P3308" s="222"/>
      <c r="Q3308" s="222"/>
      <c r="R3308" s="222"/>
      <c r="S3308" s="223"/>
      <c r="T3308" s="223"/>
      <c r="U3308" s="223"/>
      <c r="V3308" s="224"/>
      <c r="W3308" s="224"/>
    </row>
    <row r="3309" spans="1:23" s="37" customFormat="1" ht="15" customHeight="1">
      <c r="A3309" s="2"/>
      <c r="B3309" s="2" t="s">
        <v>2318</v>
      </c>
      <c r="C3309" s="3">
        <v>85</v>
      </c>
      <c r="D3309" s="54" t="str">
        <f>+D3328</f>
        <v>*** TOTAL FUND 85 EXPENSES ***</v>
      </c>
      <c r="E3309" s="54"/>
      <c r="F3309" s="54">
        <f t="shared" ref="F3309:N3309" si="377">+F3328</f>
        <v>0</v>
      </c>
      <c r="G3309" s="339">
        <f t="shared" si="377"/>
        <v>375</v>
      </c>
      <c r="H3309" s="339">
        <f t="shared" si="377"/>
        <v>425</v>
      </c>
      <c r="I3309" s="339">
        <f t="shared" si="377"/>
        <v>565</v>
      </c>
      <c r="J3309" s="339">
        <f t="shared" si="377"/>
        <v>244</v>
      </c>
      <c r="K3309" s="339">
        <f t="shared" si="377"/>
        <v>1275</v>
      </c>
      <c r="L3309" s="339">
        <f t="shared" si="377"/>
        <v>0</v>
      </c>
      <c r="M3309" s="339">
        <f t="shared" si="377"/>
        <v>100</v>
      </c>
      <c r="N3309" s="339">
        <f t="shared" si="377"/>
        <v>100</v>
      </c>
      <c r="O3309" s="303"/>
      <c r="P3309" s="220"/>
      <c r="Q3309" s="220"/>
      <c r="R3309" s="220"/>
      <c r="S3309" s="220"/>
      <c r="T3309" s="220"/>
      <c r="U3309" s="220"/>
      <c r="V3309" s="220"/>
      <c r="W3309" s="220"/>
    </row>
    <row r="3310" spans="1:23" s="46" customFormat="1" ht="15" customHeight="1">
      <c r="A3310" s="5"/>
      <c r="B3310" s="5"/>
      <c r="C3310" s="3">
        <v>85</v>
      </c>
      <c r="D3310" s="47"/>
      <c r="E3310" s="47"/>
      <c r="F3310" s="47"/>
      <c r="G3310" s="56"/>
      <c r="H3310" s="56"/>
      <c r="I3310" s="56"/>
      <c r="J3310" s="56"/>
      <c r="K3310" s="56"/>
      <c r="L3310" s="56"/>
      <c r="M3310" s="56"/>
      <c r="N3310" s="56"/>
      <c r="O3310" s="289"/>
      <c r="P3310" s="221"/>
      <c r="Q3310" s="221"/>
      <c r="R3310" s="221"/>
      <c r="S3310" s="221"/>
      <c r="T3310" s="221"/>
      <c r="U3310" s="221"/>
      <c r="V3310" s="221"/>
      <c r="W3310" s="221"/>
    </row>
    <row r="3311" spans="1:23" s="33" customFormat="1" ht="15" customHeight="1" thickBot="1">
      <c r="A3311" s="2"/>
      <c r="B3311" s="2" t="s">
        <v>2318</v>
      </c>
      <c r="C3311" s="3">
        <v>85</v>
      </c>
      <c r="D3311" s="335" t="str">
        <f>+D3330</f>
        <v>*** FUND 85 REVENUES OVER(UNDER) EXPENSES ***</v>
      </c>
      <c r="E3311" s="336"/>
      <c r="F3311" s="336">
        <f>+F3330</f>
        <v>0</v>
      </c>
      <c r="G3311" s="336">
        <f>+G3330</f>
        <v>587</v>
      </c>
      <c r="H3311" s="336">
        <f t="shared" ref="H3311:N3311" si="378">+H3330</f>
        <v>545</v>
      </c>
      <c r="I3311" s="336">
        <f t="shared" si="378"/>
        <v>631</v>
      </c>
      <c r="J3311" s="336">
        <f t="shared" si="378"/>
        <v>895</v>
      </c>
      <c r="K3311" s="336">
        <f t="shared" si="378"/>
        <v>0</v>
      </c>
      <c r="L3311" s="336">
        <f t="shared" si="378"/>
        <v>781</v>
      </c>
      <c r="M3311" s="336">
        <f t="shared" si="378"/>
        <v>1175</v>
      </c>
      <c r="N3311" s="336">
        <f t="shared" si="378"/>
        <v>1175</v>
      </c>
      <c r="O3311" s="301"/>
      <c r="P3311" s="214">
        <v>2685</v>
      </c>
      <c r="Q3311" s="215">
        <v>85</v>
      </c>
      <c r="R3311" s="216" t="s">
        <v>2618</v>
      </c>
      <c r="S3311" s="217"/>
      <c r="T3311" s="218">
        <v>1275</v>
      </c>
      <c r="U3311" s="218">
        <v>51.42</v>
      </c>
      <c r="V3311" s="219">
        <v>51.42</v>
      </c>
      <c r="W3311" s="219">
        <v>4.03</v>
      </c>
    </row>
    <row r="3312" spans="1:23" s="46" customFormat="1" ht="15" customHeight="1" thickTop="1">
      <c r="A3312" s="5"/>
      <c r="B3312" s="5"/>
      <c r="C3312" s="3">
        <v>85</v>
      </c>
      <c r="D3312" s="58"/>
      <c r="E3312" s="56"/>
      <c r="F3312" s="56"/>
      <c r="G3312" s="56"/>
      <c r="H3312" s="56"/>
      <c r="I3312" s="56"/>
      <c r="J3312" s="56"/>
      <c r="K3312" s="56"/>
      <c r="L3312" s="56"/>
      <c r="M3312" s="56"/>
      <c r="N3312" s="56"/>
      <c r="O3312" s="289"/>
      <c r="P3312" s="214">
        <v>2686</v>
      </c>
      <c r="Q3312" s="215">
        <v>85</v>
      </c>
      <c r="R3312" s="216" t="s">
        <v>2619</v>
      </c>
      <c r="S3312" s="217"/>
      <c r="T3312" s="218">
        <v>0</v>
      </c>
      <c r="U3312" s="218">
        <v>35.119999999999997</v>
      </c>
      <c r="V3312" s="219">
        <v>816.27</v>
      </c>
      <c r="W3312" s="219">
        <v>0</v>
      </c>
    </row>
    <row r="3313" spans="1:23" ht="15" customHeight="1">
      <c r="C3313" s="3">
        <v>85</v>
      </c>
      <c r="D3313" s="54" t="s">
        <v>2875</v>
      </c>
      <c r="E3313" s="54"/>
      <c r="F3313" s="192"/>
      <c r="G3313" s="55"/>
      <c r="H3313" s="55"/>
      <c r="I3313" s="55"/>
      <c r="J3313" s="55"/>
      <c r="K3313" s="55">
        <f>+K3297+K3303-K3309</f>
        <v>6681.03</v>
      </c>
      <c r="L3313" s="55"/>
      <c r="M3313" s="55">
        <f>+M3297+M3303-M3309</f>
        <v>7856.03</v>
      </c>
      <c r="N3313" s="55">
        <f>+N3297+N3303-N3309</f>
        <v>9031.0299999999988</v>
      </c>
      <c r="O3313" s="253"/>
      <c r="P3313" s="203"/>
      <c r="Q3313" s="204"/>
      <c r="R3313" s="205"/>
      <c r="S3313" s="206"/>
      <c r="T3313" s="207"/>
      <c r="U3313" s="207"/>
      <c r="V3313" s="208"/>
      <c r="W3313" s="212"/>
    </row>
    <row r="3314" spans="1:23" s="46" customFormat="1" ht="15" customHeight="1">
      <c r="A3314" s="195"/>
      <c r="B3314" s="195"/>
      <c r="C3314" s="3">
        <v>85</v>
      </c>
      <c r="D3314" s="58"/>
      <c r="E3314" s="56"/>
      <c r="F3314" s="56"/>
      <c r="G3314" s="56"/>
      <c r="H3314" s="56"/>
      <c r="I3314" s="56"/>
      <c r="J3314" s="56"/>
      <c r="K3314" s="56"/>
      <c r="L3314" s="56"/>
      <c r="M3314" s="26"/>
      <c r="N3314" s="26"/>
      <c r="O3314" s="289"/>
      <c r="P3314" s="214"/>
      <c r="Q3314" s="215"/>
      <c r="R3314" s="216"/>
      <c r="S3314" s="217"/>
      <c r="T3314" s="218"/>
      <c r="U3314" s="218"/>
      <c r="V3314" s="219"/>
      <c r="W3314" s="219"/>
    </row>
    <row r="3315" spans="1:23" ht="15" customHeight="1">
      <c r="C3315" s="3">
        <v>85</v>
      </c>
      <c r="D3315" s="15">
        <v>4330.1049999999996</v>
      </c>
      <c r="E3315" s="312" t="s">
        <v>1669</v>
      </c>
      <c r="G3315" s="26">
        <v>128</v>
      </c>
      <c r="H3315" s="26">
        <v>120</v>
      </c>
      <c r="I3315" s="26">
        <v>136</v>
      </c>
      <c r="J3315" s="26">
        <v>62</v>
      </c>
      <c r="K3315" s="26">
        <v>75</v>
      </c>
      <c r="L3315" s="26">
        <v>41</v>
      </c>
      <c r="M3315" s="26">
        <v>75</v>
      </c>
      <c r="N3315" s="26">
        <v>75</v>
      </c>
      <c r="O3315" s="285"/>
      <c r="P3315" s="214">
        <v>2687</v>
      </c>
      <c r="Q3315" s="215">
        <v>85</v>
      </c>
      <c r="R3315" s="216">
        <v>4330.1049999999996</v>
      </c>
      <c r="S3315" s="217" t="s">
        <v>1669</v>
      </c>
      <c r="T3315" s="218">
        <v>75</v>
      </c>
      <c r="U3315" s="218">
        <v>6.34</v>
      </c>
      <c r="V3315" s="219">
        <v>47.34</v>
      </c>
      <c r="W3315" s="219">
        <v>63.12</v>
      </c>
    </row>
    <row r="3316" spans="1:23" ht="15" customHeight="1">
      <c r="C3316" s="3">
        <v>85</v>
      </c>
      <c r="D3316" s="15">
        <v>4355.1049999999996</v>
      </c>
      <c r="E3316" s="312" t="s">
        <v>1927</v>
      </c>
      <c r="G3316" s="26">
        <v>834</v>
      </c>
      <c r="H3316" s="26">
        <v>850</v>
      </c>
      <c r="I3316" s="26">
        <v>1060</v>
      </c>
      <c r="J3316" s="26">
        <v>1077</v>
      </c>
      <c r="K3316" s="26">
        <v>1200</v>
      </c>
      <c r="L3316" s="26">
        <v>740</v>
      </c>
      <c r="M3316" s="26">
        <v>1200</v>
      </c>
      <c r="N3316" s="26">
        <v>1200</v>
      </c>
      <c r="O3316" s="285"/>
      <c r="P3316" s="214">
        <v>2688</v>
      </c>
      <c r="Q3316" s="215">
        <v>85</v>
      </c>
      <c r="R3316" s="216">
        <v>4355.1049999999996</v>
      </c>
      <c r="S3316" s="217" t="s">
        <v>1927</v>
      </c>
      <c r="T3316" s="218">
        <v>1200</v>
      </c>
      <c r="U3316" s="218">
        <v>80.2</v>
      </c>
      <c r="V3316" s="219">
        <v>820.35</v>
      </c>
      <c r="W3316" s="219">
        <v>68.36</v>
      </c>
    </row>
    <row r="3317" spans="1:23" ht="15" customHeight="1">
      <c r="C3317" s="3">
        <v>85</v>
      </c>
      <c r="E3317" s="14"/>
      <c r="G3317" s="26"/>
      <c r="H3317" s="26"/>
      <c r="I3317" s="26"/>
      <c r="J3317" s="26"/>
      <c r="K3317" s="26"/>
      <c r="L3317" s="26"/>
      <c r="M3317" s="26"/>
      <c r="N3317" s="26"/>
      <c r="P3317" s="222"/>
      <c r="Q3317" s="222"/>
      <c r="R3317" s="222"/>
      <c r="S3317" s="223"/>
      <c r="T3317" s="223"/>
      <c r="U3317" s="223"/>
      <c r="V3317" s="224"/>
      <c r="W3317" s="224"/>
    </row>
    <row r="3318" spans="1:23" s="27" customFormat="1" ht="15" customHeight="1" thickBot="1">
      <c r="A3318" s="2"/>
      <c r="B3318" s="2" t="s">
        <v>2317</v>
      </c>
      <c r="C3318" s="3">
        <v>85</v>
      </c>
      <c r="D3318" s="68" t="s">
        <v>2308</v>
      </c>
      <c r="E3318" s="68"/>
      <c r="F3318" s="320"/>
      <c r="G3318" s="69">
        <f>SUM(G3314:G3317)</f>
        <v>962</v>
      </c>
      <c r="H3318" s="69">
        <f t="shared" ref="H3318:N3318" si="379">SUM(H3314:H3317)</f>
        <v>970</v>
      </c>
      <c r="I3318" s="69">
        <f t="shared" si="379"/>
        <v>1196</v>
      </c>
      <c r="J3318" s="69">
        <f t="shared" si="379"/>
        <v>1139</v>
      </c>
      <c r="K3318" s="69">
        <f t="shared" si="379"/>
        <v>1275</v>
      </c>
      <c r="L3318" s="69">
        <f t="shared" si="379"/>
        <v>781</v>
      </c>
      <c r="M3318" s="69">
        <f t="shared" si="379"/>
        <v>1275</v>
      </c>
      <c r="N3318" s="69">
        <f t="shared" si="379"/>
        <v>1275</v>
      </c>
      <c r="O3318" s="281"/>
      <c r="P3318" s="214">
        <v>2689</v>
      </c>
      <c r="Q3318" s="215">
        <v>85</v>
      </c>
      <c r="R3318" s="216" t="s">
        <v>2620</v>
      </c>
      <c r="S3318" s="217"/>
      <c r="T3318" s="218">
        <v>1275</v>
      </c>
      <c r="U3318" s="218">
        <v>86.54</v>
      </c>
      <c r="V3318" s="219">
        <v>867.69</v>
      </c>
      <c r="W3318" s="219">
        <v>68.05</v>
      </c>
    </row>
    <row r="3319" spans="1:23" s="46" customFormat="1" ht="15" customHeight="1" thickTop="1">
      <c r="A3319" s="5"/>
      <c r="B3319" s="5"/>
      <c r="C3319" s="3">
        <v>85</v>
      </c>
      <c r="D3319" s="47"/>
      <c r="E3319" s="47"/>
      <c r="F3319" s="191"/>
      <c r="G3319" s="56"/>
      <c r="H3319" s="56"/>
      <c r="I3319" s="56"/>
      <c r="J3319" s="56"/>
      <c r="K3319" s="56"/>
      <c r="L3319" s="56"/>
      <c r="M3319" s="56"/>
      <c r="N3319" s="56"/>
      <c r="O3319" s="289"/>
      <c r="P3319" s="221"/>
      <c r="Q3319" s="221"/>
      <c r="R3319" s="221"/>
      <c r="S3319" s="221"/>
      <c r="T3319" s="221"/>
      <c r="U3319" s="221"/>
      <c r="V3319" s="221"/>
      <c r="W3319" s="221"/>
    </row>
    <row r="3320" spans="1:23" ht="15" customHeight="1">
      <c r="C3320" s="3">
        <v>85</v>
      </c>
      <c r="D3320" s="47" t="s">
        <v>1972</v>
      </c>
      <c r="G3320" s="26"/>
      <c r="H3320" s="26"/>
      <c r="I3320" s="26"/>
      <c r="J3320" s="26"/>
      <c r="K3320" s="26"/>
      <c r="L3320" s="26"/>
      <c r="M3320" s="26"/>
      <c r="N3320" s="26"/>
      <c r="P3320" s="214">
        <v>2690</v>
      </c>
      <c r="Q3320" s="215">
        <v>85</v>
      </c>
      <c r="R3320" s="216" t="s">
        <v>104</v>
      </c>
      <c r="S3320" s="217"/>
      <c r="T3320" s="218"/>
      <c r="U3320" s="218"/>
      <c r="V3320" s="219"/>
      <c r="W3320" s="219"/>
    </row>
    <row r="3321" spans="1:23" ht="15" customHeight="1">
      <c r="C3321" s="3">
        <v>85</v>
      </c>
      <c r="G3321" s="26"/>
      <c r="H3321" s="26"/>
      <c r="I3321" s="26"/>
      <c r="J3321" s="26"/>
      <c r="K3321" s="26"/>
      <c r="L3321" s="26"/>
      <c r="M3321" s="26"/>
      <c r="N3321" s="26"/>
      <c r="P3321" s="214">
        <v>2691</v>
      </c>
      <c r="Q3321" s="215">
        <v>85</v>
      </c>
      <c r="R3321" s="216" t="s">
        <v>2624</v>
      </c>
      <c r="S3321" s="217"/>
      <c r="T3321" s="218"/>
      <c r="U3321" s="218"/>
      <c r="V3321" s="219"/>
      <c r="W3321" s="219"/>
    </row>
    <row r="3322" spans="1:23" ht="15" customHeight="1">
      <c r="C3322" s="3">
        <v>85</v>
      </c>
      <c r="D3322" s="15" t="s">
        <v>1928</v>
      </c>
      <c r="E3322" s="312" t="s">
        <v>1929</v>
      </c>
      <c r="G3322" s="26">
        <v>375</v>
      </c>
      <c r="H3322" s="26">
        <v>425</v>
      </c>
      <c r="I3322" s="26">
        <v>565</v>
      </c>
      <c r="J3322" s="26">
        <v>244</v>
      </c>
      <c r="K3322" s="26">
        <v>1275</v>
      </c>
      <c r="L3322" s="26">
        <v>0</v>
      </c>
      <c r="M3322" s="26">
        <v>100</v>
      </c>
      <c r="N3322" s="26">
        <v>100</v>
      </c>
      <c r="O3322" s="285"/>
      <c r="P3322" s="214">
        <v>2692</v>
      </c>
      <c r="Q3322" s="215">
        <v>85</v>
      </c>
      <c r="R3322" s="216" t="s">
        <v>1928</v>
      </c>
      <c r="S3322" s="217" t="s">
        <v>1929</v>
      </c>
      <c r="T3322" s="218">
        <v>1275</v>
      </c>
      <c r="U3322" s="218">
        <v>51.42</v>
      </c>
      <c r="V3322" s="219">
        <v>51.42</v>
      </c>
      <c r="W3322" s="219">
        <v>4.03</v>
      </c>
    </row>
    <row r="3323" spans="1:23" ht="15" customHeight="1">
      <c r="C3323" s="3">
        <v>85</v>
      </c>
      <c r="G3323" s="26"/>
      <c r="H3323" s="26"/>
      <c r="I3323" s="26"/>
      <c r="J3323" s="26"/>
      <c r="K3323" s="26"/>
      <c r="L3323" s="26"/>
      <c r="M3323" s="26"/>
      <c r="N3323" s="26"/>
      <c r="P3323" s="214">
        <v>2693</v>
      </c>
      <c r="Q3323" s="215">
        <v>85</v>
      </c>
      <c r="R3323" s="216" t="s">
        <v>2623</v>
      </c>
      <c r="S3323" s="217"/>
      <c r="T3323" s="218"/>
      <c r="U3323" s="218"/>
      <c r="V3323" s="219"/>
      <c r="W3323" s="219"/>
    </row>
    <row r="3324" spans="1:23" s="200" customFormat="1" ht="15" customHeight="1">
      <c r="A3324" s="196" t="s">
        <v>104</v>
      </c>
      <c r="B3324" s="196" t="s">
        <v>2317</v>
      </c>
      <c r="C3324" s="75">
        <v>85</v>
      </c>
      <c r="D3324" s="323" t="s">
        <v>1969</v>
      </c>
      <c r="E3324" s="323"/>
      <c r="F3324" s="324"/>
      <c r="G3324" s="325">
        <f>SUM(G3319:G3323)</f>
        <v>375</v>
      </c>
      <c r="H3324" s="325">
        <f t="shared" ref="H3324:N3324" si="380">SUM(H3319:H3323)</f>
        <v>425</v>
      </c>
      <c r="I3324" s="325">
        <f t="shared" si="380"/>
        <v>565</v>
      </c>
      <c r="J3324" s="325">
        <f t="shared" si="380"/>
        <v>244</v>
      </c>
      <c r="K3324" s="325">
        <f t="shared" si="380"/>
        <v>1275</v>
      </c>
      <c r="L3324" s="325">
        <f t="shared" si="380"/>
        <v>0</v>
      </c>
      <c r="M3324" s="325">
        <f t="shared" si="380"/>
        <v>100</v>
      </c>
      <c r="N3324" s="325">
        <f t="shared" si="380"/>
        <v>100</v>
      </c>
      <c r="O3324" s="287"/>
      <c r="P3324" s="214">
        <v>2694</v>
      </c>
      <c r="Q3324" s="215">
        <v>85</v>
      </c>
      <c r="R3324" s="216" t="s">
        <v>104</v>
      </c>
      <c r="S3324" s="217"/>
      <c r="T3324" s="218">
        <v>1275</v>
      </c>
      <c r="U3324" s="218">
        <v>51.42</v>
      </c>
      <c r="V3324" s="219">
        <v>51.42</v>
      </c>
      <c r="W3324" s="219">
        <v>0</v>
      </c>
    </row>
    <row r="3325" spans="1:23" ht="15" customHeight="1">
      <c r="C3325" s="3">
        <v>85</v>
      </c>
      <c r="G3325" s="26"/>
      <c r="H3325" s="26"/>
      <c r="I3325" s="26"/>
      <c r="J3325" s="26"/>
      <c r="K3325" s="26"/>
      <c r="L3325" s="26"/>
      <c r="M3325" s="26"/>
      <c r="N3325" s="26"/>
      <c r="P3325" s="214">
        <v>2695</v>
      </c>
      <c r="Q3325" s="215">
        <v>85</v>
      </c>
      <c r="R3325" s="216" t="s">
        <v>2623</v>
      </c>
      <c r="S3325" s="217"/>
      <c r="T3325" s="218"/>
      <c r="U3325" s="218"/>
      <c r="V3325" s="219"/>
      <c r="W3325" s="219"/>
    </row>
    <row r="3326" spans="1:23" ht="15" customHeight="1">
      <c r="B3326" s="2" t="s">
        <v>2317</v>
      </c>
      <c r="C3326" s="3">
        <v>85</v>
      </c>
      <c r="D3326" s="47" t="s">
        <v>1667</v>
      </c>
      <c r="G3326" s="26">
        <f>SUM(G3324:G3325)</f>
        <v>375</v>
      </c>
      <c r="H3326" s="26">
        <f t="shared" ref="H3326:N3326" si="381">SUM(H3324:H3325)</f>
        <v>425</v>
      </c>
      <c r="I3326" s="26">
        <f t="shared" si="381"/>
        <v>565</v>
      </c>
      <c r="J3326" s="26">
        <f t="shared" si="381"/>
        <v>244</v>
      </c>
      <c r="K3326" s="26">
        <f t="shared" si="381"/>
        <v>1275</v>
      </c>
      <c r="L3326" s="26">
        <f t="shared" si="381"/>
        <v>0</v>
      </c>
      <c r="M3326" s="26">
        <f t="shared" si="381"/>
        <v>100</v>
      </c>
      <c r="N3326" s="26">
        <f t="shared" si="381"/>
        <v>100</v>
      </c>
      <c r="P3326" s="214">
        <v>2696</v>
      </c>
      <c r="Q3326" s="215">
        <v>85</v>
      </c>
      <c r="R3326" s="216" t="s">
        <v>1667</v>
      </c>
      <c r="S3326" s="217"/>
      <c r="T3326" s="218">
        <v>1275</v>
      </c>
      <c r="U3326" s="218">
        <v>51.42</v>
      </c>
      <c r="V3326" s="219">
        <v>51.42</v>
      </c>
      <c r="W3326" s="219">
        <v>4.03</v>
      </c>
    </row>
    <row r="3327" spans="1:23" ht="15" customHeight="1">
      <c r="C3327" s="3">
        <v>85</v>
      </c>
      <c r="D3327" s="47"/>
      <c r="G3327" s="26"/>
      <c r="H3327" s="26"/>
      <c r="I3327" s="26"/>
      <c r="J3327" s="26"/>
      <c r="K3327" s="26"/>
      <c r="L3327" s="26"/>
      <c r="M3327" s="26"/>
      <c r="N3327" s="26"/>
      <c r="P3327" s="222"/>
      <c r="Q3327" s="222"/>
      <c r="R3327" s="222"/>
      <c r="S3327" s="223"/>
      <c r="T3327" s="223"/>
      <c r="U3327" s="223"/>
      <c r="V3327" s="224"/>
      <c r="W3327" s="224"/>
    </row>
    <row r="3328" spans="1:23" s="31" customFormat="1" ht="15" customHeight="1">
      <c r="A3328" s="2"/>
      <c r="B3328" s="2" t="s">
        <v>2317</v>
      </c>
      <c r="C3328" s="3">
        <v>85</v>
      </c>
      <c r="D3328" s="54" t="s">
        <v>2285</v>
      </c>
      <c r="E3328" s="54"/>
      <c r="F3328" s="192"/>
      <c r="G3328" s="339">
        <f>SUM(G3326:G3327)</f>
        <v>375</v>
      </c>
      <c r="H3328" s="339">
        <f t="shared" ref="H3328:N3328" si="382">SUM(H3326:H3327)</f>
        <v>425</v>
      </c>
      <c r="I3328" s="339">
        <f t="shared" si="382"/>
        <v>565</v>
      </c>
      <c r="J3328" s="339">
        <f t="shared" si="382"/>
        <v>244</v>
      </c>
      <c r="K3328" s="339">
        <f t="shared" si="382"/>
        <v>1275</v>
      </c>
      <c r="L3328" s="339">
        <f t="shared" si="382"/>
        <v>0</v>
      </c>
      <c r="M3328" s="339">
        <f t="shared" si="382"/>
        <v>100</v>
      </c>
      <c r="N3328" s="339">
        <f t="shared" si="382"/>
        <v>100</v>
      </c>
      <c r="O3328" s="305"/>
      <c r="P3328" s="214">
        <v>2697</v>
      </c>
      <c r="Q3328" s="215">
        <v>85</v>
      </c>
      <c r="R3328" s="216" t="s">
        <v>2618</v>
      </c>
      <c r="S3328" s="217"/>
      <c r="T3328" s="218">
        <v>1275</v>
      </c>
      <c r="U3328" s="218">
        <v>51.42</v>
      </c>
      <c r="V3328" s="219">
        <v>51.42</v>
      </c>
      <c r="W3328" s="219">
        <v>4.03</v>
      </c>
    </row>
    <row r="3329" spans="1:23" s="46" customFormat="1" ht="15" customHeight="1">
      <c r="A3329" s="5"/>
      <c r="B3329" s="5"/>
      <c r="C3329" s="3">
        <v>85</v>
      </c>
      <c r="D3329" s="47"/>
      <c r="E3329" s="47"/>
      <c r="F3329" s="191"/>
      <c r="G3329" s="56"/>
      <c r="H3329" s="56"/>
      <c r="I3329" s="56"/>
      <c r="J3329" s="56"/>
      <c r="K3329" s="56"/>
      <c r="L3329" s="56"/>
      <c r="M3329" s="56"/>
      <c r="N3329" s="56"/>
      <c r="O3329" s="289"/>
      <c r="P3329" s="221"/>
      <c r="Q3329" s="221"/>
      <c r="R3329" s="221"/>
      <c r="S3329" s="221"/>
      <c r="T3329" s="221"/>
      <c r="U3329" s="221"/>
      <c r="V3329" s="221"/>
      <c r="W3329" s="221"/>
    </row>
    <row r="3330" spans="1:23" s="33" customFormat="1" ht="15" customHeight="1" thickBot="1">
      <c r="A3330" s="2"/>
      <c r="B3330" s="2" t="s">
        <v>2317</v>
      </c>
      <c r="C3330" s="3">
        <v>85</v>
      </c>
      <c r="D3330" s="329" t="s">
        <v>2260</v>
      </c>
      <c r="E3330" s="329"/>
      <c r="F3330" s="330"/>
      <c r="G3330" s="336">
        <f>+G3318-G3328</f>
        <v>587</v>
      </c>
      <c r="H3330" s="336">
        <f t="shared" ref="H3330:N3330" si="383">+H3318-H3328</f>
        <v>545</v>
      </c>
      <c r="I3330" s="336">
        <f t="shared" si="383"/>
        <v>631</v>
      </c>
      <c r="J3330" s="336">
        <f t="shared" si="383"/>
        <v>895</v>
      </c>
      <c r="K3330" s="336">
        <f t="shared" si="383"/>
        <v>0</v>
      </c>
      <c r="L3330" s="336">
        <f t="shared" si="383"/>
        <v>781</v>
      </c>
      <c r="M3330" s="336">
        <f t="shared" si="383"/>
        <v>1175</v>
      </c>
      <c r="N3330" s="336">
        <f t="shared" si="383"/>
        <v>1175</v>
      </c>
      <c r="O3330" s="301"/>
      <c r="P3330" s="214">
        <v>2698</v>
      </c>
      <c r="Q3330" s="215">
        <v>85</v>
      </c>
      <c r="R3330" s="216" t="s">
        <v>2619</v>
      </c>
      <c r="S3330" s="217"/>
      <c r="T3330" s="218">
        <v>0</v>
      </c>
      <c r="U3330" s="218">
        <v>35.119999999999997</v>
      </c>
      <c r="V3330" s="219">
        <v>816.27</v>
      </c>
      <c r="W3330" s="219">
        <v>0</v>
      </c>
    </row>
    <row r="3331" spans="1:23" s="46" customFormat="1" ht="15" customHeight="1" thickTop="1">
      <c r="A3331" s="5"/>
      <c r="B3331" s="5"/>
      <c r="C3331" s="3">
        <v>85</v>
      </c>
      <c r="D3331" s="47"/>
      <c r="E3331" s="47"/>
      <c r="F3331" s="191"/>
      <c r="G3331" s="56"/>
      <c r="H3331" s="56"/>
      <c r="I3331" s="56"/>
      <c r="J3331" s="56"/>
      <c r="K3331" s="56"/>
      <c r="L3331" s="56"/>
      <c r="M3331" s="56"/>
      <c r="N3331" s="56"/>
      <c r="O3331" s="289"/>
      <c r="P3331" s="221"/>
      <c r="Q3331" s="221"/>
      <c r="R3331" s="221"/>
      <c r="S3331" s="221"/>
      <c r="T3331" s="221"/>
      <c r="U3331" s="221"/>
      <c r="V3331" s="221"/>
      <c r="W3331" s="221"/>
    </row>
    <row r="3332" spans="1:23" ht="15" customHeight="1">
      <c r="C3332" s="3">
        <v>85</v>
      </c>
      <c r="D3332" s="54" t="s">
        <v>2875</v>
      </c>
      <c r="E3332" s="54"/>
      <c r="F3332" s="192"/>
      <c r="G3332" s="55"/>
      <c r="H3332" s="55"/>
      <c r="I3332" s="55"/>
      <c r="J3332" s="55"/>
      <c r="K3332" s="55">
        <f>+K3313</f>
        <v>6681.03</v>
      </c>
      <c r="L3332" s="55"/>
      <c r="M3332" s="55">
        <f>+M3313</f>
        <v>7856.03</v>
      </c>
      <c r="N3332" s="55">
        <f>+N3313</f>
        <v>9031.0299999999988</v>
      </c>
      <c r="O3332" s="253"/>
      <c r="P3332" s="203"/>
      <c r="Q3332" s="204"/>
      <c r="R3332" s="205"/>
      <c r="S3332" s="206"/>
      <c r="T3332" s="207"/>
      <c r="U3332" s="207"/>
      <c r="V3332" s="208"/>
      <c r="W3332" s="212"/>
    </row>
    <row r="3333" spans="1:23" s="46" customFormat="1" ht="15" customHeight="1">
      <c r="A3333" s="195"/>
      <c r="B3333" s="195"/>
      <c r="C3333" s="3">
        <v>85</v>
      </c>
      <c r="D3333" s="47"/>
      <c r="E3333" s="47"/>
      <c r="F3333" s="191"/>
      <c r="G3333" s="56"/>
      <c r="H3333" s="56"/>
      <c r="I3333" s="56"/>
      <c r="J3333" s="56"/>
      <c r="K3333" s="56"/>
      <c r="L3333" s="56"/>
      <c r="M3333" s="56"/>
      <c r="N3333" s="56"/>
      <c r="O3333" s="289"/>
      <c r="P3333" s="221"/>
      <c r="Q3333" s="221"/>
      <c r="R3333" s="221"/>
      <c r="S3333" s="221"/>
      <c r="T3333" s="221"/>
      <c r="U3333" s="221"/>
      <c r="V3333" s="221"/>
      <c r="W3333" s="221"/>
    </row>
    <row r="3334" spans="1:23" s="35" customFormat="1" ht="15" customHeight="1">
      <c r="A3334" s="2"/>
      <c r="B3334" s="2"/>
      <c r="C3334" s="3">
        <v>85</v>
      </c>
      <c r="D3334" s="47" t="s">
        <v>1976</v>
      </c>
      <c r="E3334" s="47"/>
      <c r="F3334" s="191"/>
      <c r="G3334" s="48"/>
      <c r="H3334" s="48"/>
      <c r="I3334" s="48"/>
      <c r="J3334" s="48"/>
      <c r="K3334" s="48"/>
      <c r="L3334" s="48"/>
      <c r="M3334" s="48"/>
      <c r="N3334" s="48"/>
      <c r="O3334" s="276"/>
      <c r="P3334" s="214">
        <v>2699</v>
      </c>
      <c r="Q3334" s="215">
        <v>85</v>
      </c>
      <c r="R3334" s="216" t="s">
        <v>2630</v>
      </c>
      <c r="S3334" s="217"/>
      <c r="T3334" s="218"/>
      <c r="U3334" s="218"/>
      <c r="V3334" s="219"/>
      <c r="W3334" s="219"/>
    </row>
    <row r="3335" spans="1:23" s="35" customFormat="1" ht="15" customHeight="1">
      <c r="A3335" s="2"/>
      <c r="B3335" s="2"/>
      <c r="C3335" s="3"/>
      <c r="D3335" s="47"/>
      <c r="E3335" s="47"/>
      <c r="F3335" s="191"/>
      <c r="G3335" s="48"/>
      <c r="H3335" s="48"/>
      <c r="I3335" s="48"/>
      <c r="J3335" s="48"/>
      <c r="K3335" s="48"/>
      <c r="L3335" s="48"/>
      <c r="M3335" s="48"/>
      <c r="N3335" s="48"/>
      <c r="O3335" s="276"/>
      <c r="P3335" s="36"/>
      <c r="Q3335" s="36"/>
    </row>
    <row r="3336" spans="1:23" s="35" customFormat="1" ht="15" customHeight="1">
      <c r="A3336" s="2"/>
      <c r="B3336" s="2"/>
      <c r="C3336" s="3"/>
      <c r="D3336" s="47"/>
      <c r="E3336" s="47"/>
      <c r="F3336" s="191"/>
      <c r="G3336" s="48"/>
      <c r="H3336" s="48"/>
      <c r="I3336" s="48"/>
      <c r="J3336" s="48"/>
      <c r="K3336" s="48"/>
      <c r="L3336" s="48"/>
      <c r="M3336" s="48"/>
      <c r="N3336" s="48"/>
      <c r="O3336" s="276"/>
      <c r="P3336" s="36"/>
      <c r="Q3336" s="36"/>
    </row>
    <row r="3337" spans="1:23" s="35" customFormat="1" ht="15" customHeight="1">
      <c r="A3337" s="2"/>
      <c r="B3337" s="2"/>
      <c r="C3337" s="3"/>
      <c r="D3337" s="47"/>
      <c r="E3337" s="47"/>
      <c r="F3337" s="191"/>
      <c r="G3337" s="48"/>
      <c r="H3337" s="48"/>
      <c r="I3337" s="48"/>
      <c r="J3337" s="48"/>
      <c r="K3337" s="48"/>
      <c r="L3337" s="48"/>
      <c r="M3337" s="48"/>
      <c r="N3337" s="48"/>
      <c r="O3337" s="276"/>
      <c r="P3337" s="36"/>
      <c r="Q3337" s="36"/>
    </row>
    <row r="3338" spans="1:23" s="35" customFormat="1" ht="15" customHeight="1">
      <c r="A3338" s="2"/>
      <c r="B3338" s="2"/>
      <c r="C3338" s="3">
        <v>86</v>
      </c>
      <c r="D3338" s="47" t="s">
        <v>2398</v>
      </c>
      <c r="E3338" s="47"/>
      <c r="F3338" s="191"/>
      <c r="G3338" s="48"/>
      <c r="H3338" s="48"/>
      <c r="I3338" s="48"/>
      <c r="J3338" s="48"/>
      <c r="K3338" s="48"/>
      <c r="L3338" s="48"/>
      <c r="M3338" s="48"/>
      <c r="N3338" s="48"/>
      <c r="O3338" s="276"/>
      <c r="P3338" s="36"/>
      <c r="Q3338" s="36"/>
    </row>
    <row r="3339" spans="1:23" s="35" customFormat="1" ht="15" customHeight="1">
      <c r="A3339" s="2"/>
      <c r="B3339" s="2"/>
      <c r="C3339" s="3">
        <v>86</v>
      </c>
      <c r="D3339" s="47"/>
      <c r="E3339" s="47"/>
      <c r="F3339" s="191"/>
      <c r="G3339" s="48"/>
      <c r="H3339" s="48"/>
      <c r="I3339" s="48"/>
      <c r="J3339" s="48"/>
      <c r="K3339" s="48"/>
      <c r="L3339" s="48"/>
      <c r="M3339" s="48"/>
      <c r="N3339" s="48"/>
      <c r="O3339" s="276"/>
      <c r="P3339" s="36"/>
      <c r="Q3339" s="36"/>
    </row>
    <row r="3340" spans="1:23" ht="15" customHeight="1">
      <c r="C3340" s="3">
        <v>86</v>
      </c>
      <c r="D3340" s="54" t="s">
        <v>2874</v>
      </c>
      <c r="E3340" s="54"/>
      <c r="F3340" s="192"/>
      <c r="G3340" s="55"/>
      <c r="H3340" s="55"/>
      <c r="I3340" s="55"/>
      <c r="J3340" s="55"/>
      <c r="K3340" s="55">
        <v>40793.24</v>
      </c>
      <c r="L3340" s="55"/>
      <c r="M3340" s="55">
        <v>40793.24</v>
      </c>
      <c r="N3340" s="55">
        <f>+M3356</f>
        <v>40793.239999999991</v>
      </c>
      <c r="O3340" s="278"/>
      <c r="P3340" s="203"/>
      <c r="Q3340" s="204"/>
      <c r="R3340" s="205"/>
      <c r="S3340" s="206"/>
      <c r="T3340" s="207"/>
      <c r="U3340" s="207"/>
      <c r="V3340" s="208"/>
      <c r="W3340" s="212"/>
    </row>
    <row r="3341" spans="1:23" s="35" customFormat="1" ht="15" customHeight="1">
      <c r="A3341" s="2"/>
      <c r="B3341" s="2"/>
      <c r="C3341" s="3">
        <v>86</v>
      </c>
      <c r="D3341" s="47"/>
      <c r="E3341" s="47"/>
      <c r="F3341" s="191"/>
      <c r="G3341" s="48"/>
      <c r="H3341" s="48"/>
      <c r="I3341" s="48"/>
      <c r="J3341" s="48"/>
      <c r="K3341" s="48"/>
      <c r="L3341" s="48"/>
      <c r="M3341" s="48"/>
      <c r="N3341" s="48"/>
      <c r="O3341" s="276"/>
      <c r="P3341" s="36"/>
      <c r="Q3341" s="36"/>
    </row>
    <row r="3342" spans="1:23" ht="15" customHeight="1">
      <c r="C3342" s="3">
        <v>86</v>
      </c>
      <c r="D3342" s="47" t="s">
        <v>2235</v>
      </c>
      <c r="G3342" s="26"/>
      <c r="H3342" s="26"/>
      <c r="I3342" s="26"/>
      <c r="J3342" s="26"/>
      <c r="K3342" s="26"/>
      <c r="L3342" s="26"/>
      <c r="M3342" s="26"/>
      <c r="N3342" s="26"/>
      <c r="P3342" s="214">
        <v>2700</v>
      </c>
      <c r="Q3342" s="215">
        <v>86</v>
      </c>
      <c r="R3342" s="216" t="s">
        <v>2610</v>
      </c>
      <c r="S3342" s="217"/>
      <c r="T3342" s="218"/>
      <c r="U3342" s="218"/>
      <c r="V3342" s="219"/>
      <c r="W3342" s="219"/>
    </row>
    <row r="3343" spans="1:23" ht="15" customHeight="1">
      <c r="C3343" s="3">
        <v>86</v>
      </c>
      <c r="G3343" s="26"/>
      <c r="H3343" s="26"/>
      <c r="I3343" s="26"/>
      <c r="J3343" s="26"/>
      <c r="K3343" s="26"/>
      <c r="L3343" s="26"/>
      <c r="M3343" s="26"/>
      <c r="N3343" s="26"/>
      <c r="P3343" s="214">
        <v>2701</v>
      </c>
      <c r="Q3343" s="215">
        <v>86</v>
      </c>
      <c r="R3343" s="216" t="s">
        <v>2611</v>
      </c>
      <c r="S3343" s="217"/>
      <c r="T3343" s="218"/>
      <c r="U3343" s="218"/>
      <c r="V3343" s="219"/>
      <c r="W3343" s="219"/>
    </row>
    <row r="3344" spans="1:23" s="21" customFormat="1" ht="15" customHeight="1">
      <c r="A3344" s="2"/>
      <c r="B3344" s="2" t="s">
        <v>2318</v>
      </c>
      <c r="C3344" s="3">
        <v>86</v>
      </c>
      <c r="D3344" s="54" t="s">
        <v>2211</v>
      </c>
      <c r="E3344" s="54"/>
      <c r="F3344" s="192"/>
      <c r="G3344" s="55">
        <f>+G3346</f>
        <v>0</v>
      </c>
      <c r="H3344" s="55">
        <f t="shared" ref="H3344:N3344" si="384">+H3346</f>
        <v>17974</v>
      </c>
      <c r="I3344" s="55">
        <f t="shared" si="384"/>
        <v>38285</v>
      </c>
      <c r="J3344" s="55">
        <f t="shared" si="384"/>
        <v>53347</v>
      </c>
      <c r="K3344" s="55">
        <f t="shared" si="384"/>
        <v>45450</v>
      </c>
      <c r="L3344" s="55">
        <f t="shared" si="384"/>
        <v>35154</v>
      </c>
      <c r="M3344" s="55">
        <f t="shared" si="384"/>
        <v>50500</v>
      </c>
      <c r="N3344" s="55">
        <f t="shared" si="384"/>
        <v>50500</v>
      </c>
      <c r="O3344" s="279"/>
      <c r="P3344" s="214">
        <v>2702</v>
      </c>
      <c r="Q3344" s="215">
        <v>86</v>
      </c>
      <c r="R3344" s="216" t="s">
        <v>2612</v>
      </c>
      <c r="S3344" s="217"/>
      <c r="T3344" s="218">
        <v>45450</v>
      </c>
      <c r="U3344" s="218">
        <v>5176.6099999999997</v>
      </c>
      <c r="V3344" s="219">
        <v>40330.14</v>
      </c>
      <c r="W3344" s="219">
        <v>88.74</v>
      </c>
    </row>
    <row r="3345" spans="1:23" s="57" customFormat="1" ht="15" customHeight="1">
      <c r="A3345" s="5"/>
      <c r="B3345" s="5"/>
      <c r="C3345" s="3">
        <v>86</v>
      </c>
      <c r="D3345" s="54"/>
      <c r="E3345" s="54"/>
      <c r="F3345" s="192"/>
      <c r="G3345" s="55"/>
      <c r="H3345" s="55"/>
      <c r="I3345" s="55"/>
      <c r="J3345" s="55"/>
      <c r="K3345" s="55"/>
      <c r="L3345" s="55"/>
      <c r="M3345" s="55"/>
      <c r="N3345" s="55"/>
      <c r="O3345" s="302"/>
      <c r="P3345" s="220"/>
      <c r="Q3345" s="220"/>
      <c r="R3345" s="220"/>
      <c r="S3345" s="220"/>
      <c r="T3345" s="220"/>
      <c r="U3345" s="220"/>
      <c r="V3345" s="220"/>
      <c r="W3345" s="220"/>
    </row>
    <row r="3346" spans="1:23" s="27" customFormat="1" ht="15" customHeight="1" thickBot="1">
      <c r="A3346" s="2"/>
      <c r="B3346" s="2" t="s">
        <v>2318</v>
      </c>
      <c r="C3346" s="3">
        <v>86</v>
      </c>
      <c r="D3346" s="68" t="str">
        <f>+D3361</f>
        <v>*** TOTAL FUND 86 REVENUES ***</v>
      </c>
      <c r="E3346" s="68"/>
      <c r="F3346" s="68">
        <f>+F3361</f>
        <v>0</v>
      </c>
      <c r="G3346" s="69">
        <f>+G3361</f>
        <v>0</v>
      </c>
      <c r="H3346" s="69">
        <f t="shared" ref="H3346:N3346" si="385">+H3361</f>
        <v>17974</v>
      </c>
      <c r="I3346" s="69">
        <f t="shared" si="385"/>
        <v>38285</v>
      </c>
      <c r="J3346" s="69">
        <f t="shared" si="385"/>
        <v>53347</v>
      </c>
      <c r="K3346" s="69">
        <f t="shared" si="385"/>
        <v>45450</v>
      </c>
      <c r="L3346" s="69">
        <f t="shared" si="385"/>
        <v>35154</v>
      </c>
      <c r="M3346" s="69">
        <f t="shared" si="385"/>
        <v>50500</v>
      </c>
      <c r="N3346" s="69">
        <f t="shared" si="385"/>
        <v>50500</v>
      </c>
      <c r="O3346" s="281"/>
      <c r="P3346" s="214">
        <v>2703</v>
      </c>
      <c r="Q3346" s="215">
        <v>86</v>
      </c>
      <c r="R3346" s="216" t="s">
        <v>2613</v>
      </c>
      <c r="S3346" s="217"/>
      <c r="T3346" s="218">
        <v>45450</v>
      </c>
      <c r="U3346" s="218">
        <v>5176.6099999999997</v>
      </c>
      <c r="V3346" s="219">
        <v>40330.14</v>
      </c>
      <c r="W3346" s="219">
        <v>88.74</v>
      </c>
    </row>
    <row r="3347" spans="1:23" s="46" customFormat="1" ht="15" customHeight="1" thickTop="1">
      <c r="A3347" s="5"/>
      <c r="B3347" s="5"/>
      <c r="C3347" s="3">
        <v>86</v>
      </c>
      <c r="D3347" s="47"/>
      <c r="E3347" s="47"/>
      <c r="F3347" s="47"/>
      <c r="G3347" s="56"/>
      <c r="H3347" s="56"/>
      <c r="I3347" s="56"/>
      <c r="J3347" s="56"/>
      <c r="K3347" s="56"/>
      <c r="L3347" s="56"/>
      <c r="M3347" s="56"/>
      <c r="N3347" s="56"/>
      <c r="O3347" s="289"/>
      <c r="P3347" s="221"/>
      <c r="Q3347" s="221"/>
      <c r="R3347" s="221"/>
      <c r="S3347" s="221"/>
      <c r="T3347" s="221"/>
      <c r="U3347" s="221"/>
      <c r="V3347" s="221"/>
      <c r="W3347" s="221"/>
    </row>
    <row r="3348" spans="1:23" ht="15" customHeight="1">
      <c r="C3348" s="3">
        <v>86</v>
      </c>
      <c r="D3348" s="47" t="s">
        <v>1977</v>
      </c>
      <c r="G3348" s="26"/>
      <c r="H3348" s="26"/>
      <c r="I3348" s="26"/>
      <c r="J3348" s="26"/>
      <c r="K3348" s="26"/>
      <c r="L3348" s="26"/>
      <c r="M3348" s="26"/>
      <c r="N3348" s="26"/>
      <c r="P3348" s="214">
        <v>2704</v>
      </c>
      <c r="Q3348" s="215">
        <v>86</v>
      </c>
      <c r="R3348" s="216" t="s">
        <v>2614</v>
      </c>
      <c r="S3348" s="217"/>
      <c r="T3348" s="218"/>
      <c r="U3348" s="218"/>
      <c r="V3348" s="219"/>
      <c r="W3348" s="219"/>
    </row>
    <row r="3349" spans="1:23" ht="15" customHeight="1">
      <c r="C3349" s="3">
        <v>86</v>
      </c>
      <c r="G3349" s="26"/>
      <c r="H3349" s="26"/>
      <c r="I3349" s="26"/>
      <c r="J3349" s="26"/>
      <c r="K3349" s="26"/>
      <c r="L3349" s="26"/>
      <c r="M3349" s="26"/>
      <c r="N3349" s="26"/>
      <c r="P3349" s="214">
        <v>2705</v>
      </c>
      <c r="Q3349" s="215">
        <v>86</v>
      </c>
      <c r="R3349" s="216" t="s">
        <v>2615</v>
      </c>
      <c r="S3349" s="217"/>
      <c r="T3349" s="218"/>
      <c r="U3349" s="218"/>
      <c r="V3349" s="219"/>
      <c r="W3349" s="219"/>
    </row>
    <row r="3350" spans="1:23" ht="15" customHeight="1">
      <c r="B3350" s="2" t="s">
        <v>2318</v>
      </c>
      <c r="C3350" s="3">
        <v>86</v>
      </c>
      <c r="D3350" s="47" t="s">
        <v>1667</v>
      </c>
      <c r="G3350" s="26">
        <f>+G3369</f>
        <v>0</v>
      </c>
      <c r="H3350" s="26">
        <f t="shared" ref="H3350:N3350" si="386">+H3369</f>
        <v>2670</v>
      </c>
      <c r="I3350" s="26">
        <f t="shared" si="386"/>
        <v>18464</v>
      </c>
      <c r="J3350" s="26">
        <f t="shared" si="386"/>
        <v>47679</v>
      </c>
      <c r="K3350" s="26">
        <f t="shared" si="386"/>
        <v>45450</v>
      </c>
      <c r="L3350" s="26">
        <f t="shared" si="386"/>
        <v>44719</v>
      </c>
      <c r="M3350" s="26">
        <f t="shared" si="386"/>
        <v>50500</v>
      </c>
      <c r="N3350" s="26">
        <f t="shared" si="386"/>
        <v>50500</v>
      </c>
      <c r="P3350" s="214">
        <v>2706</v>
      </c>
      <c r="Q3350" s="215">
        <v>86</v>
      </c>
      <c r="R3350" s="216" t="s">
        <v>1667</v>
      </c>
      <c r="S3350" s="217"/>
      <c r="T3350" s="218">
        <v>45450</v>
      </c>
      <c r="U3350" s="218">
        <v>2000</v>
      </c>
      <c r="V3350" s="219">
        <v>46718.720000000001</v>
      </c>
      <c r="W3350" s="219">
        <v>102.79</v>
      </c>
    </row>
    <row r="3351" spans="1:23" ht="15" customHeight="1">
      <c r="C3351" s="3">
        <v>86</v>
      </c>
      <c r="D3351" s="47"/>
      <c r="G3351" s="26"/>
      <c r="H3351" s="26"/>
      <c r="I3351" s="26"/>
      <c r="J3351" s="26"/>
      <c r="K3351" s="26"/>
      <c r="L3351" s="26"/>
      <c r="M3351" s="26"/>
      <c r="N3351" s="26"/>
      <c r="P3351" s="222"/>
      <c r="Q3351" s="222"/>
      <c r="R3351" s="222"/>
      <c r="S3351" s="223"/>
      <c r="T3351" s="223"/>
      <c r="U3351" s="223"/>
      <c r="V3351" s="224"/>
      <c r="W3351" s="224"/>
    </row>
    <row r="3352" spans="1:23" s="37" customFormat="1" ht="15" customHeight="1">
      <c r="A3352" s="2"/>
      <c r="B3352" s="2" t="s">
        <v>2318</v>
      </c>
      <c r="C3352" s="3">
        <v>86</v>
      </c>
      <c r="D3352" s="54" t="str">
        <f>+D3371</f>
        <v>*** TOTAL FUND 86 EXPENSES ***</v>
      </c>
      <c r="E3352" s="54"/>
      <c r="F3352" s="54">
        <f t="shared" ref="F3352:N3352" si="387">+F3371</f>
        <v>0</v>
      </c>
      <c r="G3352" s="339">
        <f t="shared" si="387"/>
        <v>0</v>
      </c>
      <c r="H3352" s="339">
        <f t="shared" si="387"/>
        <v>2670</v>
      </c>
      <c r="I3352" s="339">
        <f t="shared" si="387"/>
        <v>18464</v>
      </c>
      <c r="J3352" s="339">
        <f t="shared" si="387"/>
        <v>47679</v>
      </c>
      <c r="K3352" s="339">
        <f t="shared" si="387"/>
        <v>45450</v>
      </c>
      <c r="L3352" s="339">
        <f t="shared" si="387"/>
        <v>44719</v>
      </c>
      <c r="M3352" s="339">
        <f t="shared" si="387"/>
        <v>50500</v>
      </c>
      <c r="N3352" s="339">
        <f t="shared" si="387"/>
        <v>50500</v>
      </c>
      <c r="O3352" s="303"/>
      <c r="P3352" s="214">
        <v>2707</v>
      </c>
      <c r="Q3352" s="215">
        <v>86</v>
      </c>
      <c r="R3352" s="216" t="s">
        <v>2618</v>
      </c>
      <c r="S3352" s="217"/>
      <c r="T3352" s="218">
        <v>45450</v>
      </c>
      <c r="U3352" s="218">
        <v>2000</v>
      </c>
      <c r="V3352" s="219">
        <v>46718.720000000001</v>
      </c>
      <c r="W3352" s="219">
        <v>102.79</v>
      </c>
    </row>
    <row r="3353" spans="1:23" s="46" customFormat="1" ht="15" customHeight="1">
      <c r="A3353" s="5"/>
      <c r="B3353" s="5"/>
      <c r="C3353" s="3">
        <v>86</v>
      </c>
      <c r="D3353" s="47"/>
      <c r="E3353" s="47"/>
      <c r="F3353" s="47"/>
      <c r="G3353" s="56"/>
      <c r="H3353" s="56"/>
      <c r="I3353" s="56"/>
      <c r="J3353" s="56"/>
      <c r="K3353" s="56"/>
      <c r="L3353" s="56"/>
      <c r="M3353" s="56"/>
      <c r="N3353" s="56"/>
      <c r="O3353" s="289"/>
      <c r="P3353" s="221"/>
      <c r="Q3353" s="221"/>
      <c r="R3353" s="221"/>
      <c r="S3353" s="221"/>
      <c r="T3353" s="221"/>
      <c r="U3353" s="221"/>
      <c r="V3353" s="221"/>
      <c r="W3353" s="221"/>
    </row>
    <row r="3354" spans="1:23" s="33" customFormat="1" ht="15" customHeight="1" thickBot="1">
      <c r="A3354" s="2"/>
      <c r="B3354" s="2" t="s">
        <v>2318</v>
      </c>
      <c r="C3354" s="3">
        <v>86</v>
      </c>
      <c r="D3354" s="335" t="str">
        <f>+D3373</f>
        <v>*** FUND 86 REVENUES OVER(UNDER) EXPENSES ***</v>
      </c>
      <c r="E3354" s="336"/>
      <c r="F3354" s="336">
        <f>+F3373</f>
        <v>0</v>
      </c>
      <c r="G3354" s="336">
        <f>+G3373</f>
        <v>0</v>
      </c>
      <c r="H3354" s="336">
        <f t="shared" ref="H3354:N3354" si="388">+H3373</f>
        <v>15304</v>
      </c>
      <c r="I3354" s="336">
        <f t="shared" si="388"/>
        <v>19821</v>
      </c>
      <c r="J3354" s="336">
        <f t="shared" si="388"/>
        <v>5668</v>
      </c>
      <c r="K3354" s="336">
        <f t="shared" si="388"/>
        <v>0</v>
      </c>
      <c r="L3354" s="336">
        <f t="shared" si="388"/>
        <v>-9565</v>
      </c>
      <c r="M3354" s="336">
        <f t="shared" si="388"/>
        <v>0</v>
      </c>
      <c r="N3354" s="336">
        <f t="shared" si="388"/>
        <v>0</v>
      </c>
      <c r="O3354" s="301"/>
      <c r="P3354" s="214">
        <v>2708</v>
      </c>
      <c r="Q3354" s="215">
        <v>86</v>
      </c>
      <c r="R3354" s="216" t="s">
        <v>2619</v>
      </c>
      <c r="S3354" s="217"/>
      <c r="T3354" s="218">
        <v>0</v>
      </c>
      <c r="U3354" s="218">
        <v>3176.61</v>
      </c>
      <c r="V3354" s="219">
        <v>-6388.58</v>
      </c>
      <c r="W3354" s="219">
        <v>0</v>
      </c>
    </row>
    <row r="3355" spans="1:23" s="46" customFormat="1" ht="15" customHeight="1" thickTop="1">
      <c r="A3355" s="5"/>
      <c r="B3355" s="5"/>
      <c r="C3355" s="3">
        <v>86</v>
      </c>
      <c r="D3355" s="58"/>
      <c r="E3355" s="56"/>
      <c r="F3355" s="56"/>
      <c r="G3355" s="56"/>
      <c r="H3355" s="56"/>
      <c r="I3355" s="56"/>
      <c r="J3355" s="56"/>
      <c r="K3355" s="56"/>
      <c r="L3355" s="56"/>
      <c r="M3355" s="56"/>
      <c r="N3355" s="56"/>
      <c r="O3355" s="289"/>
      <c r="P3355" s="221"/>
      <c r="Q3355" s="221"/>
      <c r="R3355" s="221"/>
      <c r="S3355" s="221"/>
      <c r="T3355" s="221"/>
      <c r="U3355" s="221"/>
      <c r="V3355" s="221"/>
      <c r="W3355" s="221"/>
    </row>
    <row r="3356" spans="1:23" ht="15" customHeight="1">
      <c r="C3356" s="3">
        <v>86</v>
      </c>
      <c r="D3356" s="54" t="s">
        <v>2875</v>
      </c>
      <c r="E3356" s="54"/>
      <c r="F3356" s="192"/>
      <c r="G3356" s="55"/>
      <c r="H3356" s="55"/>
      <c r="I3356" s="55"/>
      <c r="J3356" s="55"/>
      <c r="K3356" s="55">
        <f>+K3340+K3346-K3352</f>
        <v>40793.239999999991</v>
      </c>
      <c r="L3356" s="55"/>
      <c r="M3356" s="55">
        <f>+M3340+M3346-M3352</f>
        <v>40793.239999999991</v>
      </c>
      <c r="N3356" s="55">
        <f>+N3340+N3346-N3352</f>
        <v>40793.239999999991</v>
      </c>
      <c r="O3356" s="253"/>
      <c r="P3356" s="203"/>
      <c r="Q3356" s="204"/>
      <c r="R3356" s="205"/>
      <c r="S3356" s="206"/>
      <c r="T3356" s="207"/>
      <c r="U3356" s="207"/>
      <c r="V3356" s="208"/>
      <c r="W3356" s="212"/>
    </row>
    <row r="3357" spans="1:23" s="46" customFormat="1" ht="15" customHeight="1">
      <c r="A3357" s="195"/>
      <c r="B3357" s="195"/>
      <c r="C3357" s="3">
        <v>86</v>
      </c>
      <c r="D3357" s="58"/>
      <c r="E3357" s="56"/>
      <c r="F3357" s="56"/>
      <c r="G3357" s="56"/>
      <c r="H3357" s="56"/>
      <c r="I3357" s="56"/>
      <c r="J3357" s="56"/>
      <c r="K3357" s="56"/>
      <c r="L3357" s="56"/>
      <c r="M3357" s="26"/>
      <c r="N3357" s="26"/>
      <c r="O3357" s="289"/>
      <c r="P3357" s="221"/>
      <c r="Q3357" s="221"/>
      <c r="R3357" s="221"/>
      <c r="S3357" s="221"/>
      <c r="T3357" s="221"/>
      <c r="U3357" s="221"/>
      <c r="V3357" s="221"/>
      <c r="W3357" s="221"/>
    </row>
    <row r="3358" spans="1:23" ht="15" customHeight="1">
      <c r="C3358" s="3">
        <v>86</v>
      </c>
      <c r="D3358" s="314">
        <v>4330.1099999999997</v>
      </c>
      <c r="E3358" s="312" t="s">
        <v>1669</v>
      </c>
      <c r="G3358" s="26">
        <v>0</v>
      </c>
      <c r="H3358" s="26">
        <v>179</v>
      </c>
      <c r="I3358" s="26">
        <v>425</v>
      </c>
      <c r="J3358" s="26">
        <v>252</v>
      </c>
      <c r="K3358" s="26">
        <v>450</v>
      </c>
      <c r="L3358" s="26">
        <v>120</v>
      </c>
      <c r="M3358" s="26">
        <v>500</v>
      </c>
      <c r="N3358" s="26">
        <v>500</v>
      </c>
      <c r="O3358" s="285"/>
      <c r="P3358" s="214">
        <v>2709</v>
      </c>
      <c r="Q3358" s="215">
        <v>86</v>
      </c>
      <c r="R3358" s="216">
        <v>4330.1099999999997</v>
      </c>
      <c r="S3358" s="217" t="s">
        <v>1669</v>
      </c>
      <c r="T3358" s="218">
        <v>450</v>
      </c>
      <c r="U3358" s="218">
        <v>27.61</v>
      </c>
      <c r="V3358" s="219">
        <v>147.13999999999999</v>
      </c>
      <c r="W3358" s="219">
        <v>32.700000000000003</v>
      </c>
    </row>
    <row r="3359" spans="1:23" ht="15" customHeight="1">
      <c r="C3359" s="3">
        <v>86</v>
      </c>
      <c r="D3359" s="314">
        <v>4355.1099999999997</v>
      </c>
      <c r="E3359" s="312" t="s">
        <v>1930</v>
      </c>
      <c r="G3359" s="26">
        <v>0</v>
      </c>
      <c r="H3359" s="26">
        <v>17795</v>
      </c>
      <c r="I3359" s="26">
        <v>37860</v>
      </c>
      <c r="J3359" s="26">
        <v>53095</v>
      </c>
      <c r="K3359" s="26">
        <v>45000</v>
      </c>
      <c r="L3359" s="26">
        <v>35034</v>
      </c>
      <c r="M3359" s="26">
        <v>50000</v>
      </c>
      <c r="N3359" s="26">
        <v>50000</v>
      </c>
      <c r="O3359" s="285"/>
      <c r="P3359" s="214">
        <v>2710</v>
      </c>
      <c r="Q3359" s="215">
        <v>86</v>
      </c>
      <c r="R3359" s="216">
        <v>4355.1099999999997</v>
      </c>
      <c r="S3359" s="217" t="s">
        <v>1930</v>
      </c>
      <c r="T3359" s="218">
        <v>45000</v>
      </c>
      <c r="U3359" s="218">
        <v>5149</v>
      </c>
      <c r="V3359" s="219">
        <v>40183</v>
      </c>
      <c r="W3359" s="219">
        <v>89.3</v>
      </c>
    </row>
    <row r="3360" spans="1:23" ht="15" customHeight="1">
      <c r="C3360" s="3">
        <v>86</v>
      </c>
      <c r="E3360" s="14"/>
      <c r="G3360" s="26"/>
      <c r="H3360" s="26"/>
      <c r="I3360" s="26"/>
      <c r="J3360" s="26"/>
      <c r="K3360" s="26"/>
      <c r="L3360" s="26"/>
      <c r="M3360" s="26"/>
      <c r="N3360" s="26"/>
      <c r="P3360" s="222"/>
      <c r="Q3360" s="222"/>
      <c r="R3360" s="222"/>
      <c r="S3360" s="223"/>
      <c r="T3360" s="223"/>
      <c r="U3360" s="223"/>
      <c r="V3360" s="224"/>
      <c r="W3360" s="224"/>
    </row>
    <row r="3361" spans="1:23" s="27" customFormat="1" ht="15" customHeight="1" thickBot="1">
      <c r="A3361" s="2"/>
      <c r="B3361" s="2" t="s">
        <v>2317</v>
      </c>
      <c r="C3361" s="3">
        <v>86</v>
      </c>
      <c r="D3361" s="68" t="s">
        <v>2309</v>
      </c>
      <c r="E3361" s="68"/>
      <c r="F3361" s="320"/>
      <c r="G3361" s="69">
        <f>SUM(G3357:G3360)</f>
        <v>0</v>
      </c>
      <c r="H3361" s="69">
        <f t="shared" ref="H3361:N3361" si="389">SUM(H3357:H3360)</f>
        <v>17974</v>
      </c>
      <c r="I3361" s="69">
        <f t="shared" si="389"/>
        <v>38285</v>
      </c>
      <c r="J3361" s="69">
        <f t="shared" si="389"/>
        <v>53347</v>
      </c>
      <c r="K3361" s="69">
        <f t="shared" si="389"/>
        <v>45450</v>
      </c>
      <c r="L3361" s="69">
        <f t="shared" si="389"/>
        <v>35154</v>
      </c>
      <c r="M3361" s="69">
        <f t="shared" si="389"/>
        <v>50500</v>
      </c>
      <c r="N3361" s="69">
        <f t="shared" si="389"/>
        <v>50500</v>
      </c>
      <c r="O3361" s="281"/>
      <c r="P3361" s="214">
        <v>2711</v>
      </c>
      <c r="Q3361" s="215">
        <v>86</v>
      </c>
      <c r="R3361" s="216" t="s">
        <v>2620</v>
      </c>
      <c r="S3361" s="217"/>
      <c r="T3361" s="218">
        <v>45450</v>
      </c>
      <c r="U3361" s="218">
        <v>5176.6099999999997</v>
      </c>
      <c r="V3361" s="219">
        <v>40330.14</v>
      </c>
      <c r="W3361" s="219">
        <v>88.74</v>
      </c>
    </row>
    <row r="3362" spans="1:23" s="46" customFormat="1" ht="15" customHeight="1" thickTop="1">
      <c r="A3362" s="5"/>
      <c r="B3362" s="5"/>
      <c r="C3362" s="3">
        <v>86</v>
      </c>
      <c r="D3362" s="47"/>
      <c r="E3362" s="47"/>
      <c r="F3362" s="191"/>
      <c r="G3362" s="56"/>
      <c r="H3362" s="56"/>
      <c r="I3362" s="56"/>
      <c r="J3362" s="56"/>
      <c r="K3362" s="56"/>
      <c r="L3362" s="56"/>
      <c r="M3362" s="56"/>
      <c r="N3362" s="56"/>
      <c r="O3362" s="289"/>
      <c r="P3362" s="221"/>
      <c r="Q3362" s="221"/>
      <c r="R3362" s="221"/>
      <c r="S3362" s="221"/>
      <c r="T3362" s="221"/>
      <c r="U3362" s="221"/>
      <c r="V3362" s="221"/>
      <c r="W3362" s="221"/>
    </row>
    <row r="3363" spans="1:23" ht="15" customHeight="1">
      <c r="C3363" s="3">
        <v>86</v>
      </c>
      <c r="D3363" s="47" t="s">
        <v>1972</v>
      </c>
      <c r="G3363" s="26"/>
      <c r="H3363" s="26"/>
      <c r="I3363" s="26"/>
      <c r="J3363" s="26"/>
      <c r="K3363" s="26"/>
      <c r="L3363" s="26"/>
      <c r="M3363" s="26"/>
      <c r="N3363" s="26"/>
      <c r="P3363" s="214">
        <v>2712</v>
      </c>
      <c r="Q3363" s="215">
        <v>86</v>
      </c>
      <c r="R3363" s="216" t="s">
        <v>104</v>
      </c>
      <c r="S3363" s="217"/>
      <c r="T3363" s="218"/>
      <c r="U3363" s="218"/>
      <c r="V3363" s="219"/>
      <c r="W3363" s="219"/>
    </row>
    <row r="3364" spans="1:23" ht="15" customHeight="1">
      <c r="C3364" s="3">
        <v>86</v>
      </c>
      <c r="G3364" s="26"/>
      <c r="H3364" s="26"/>
      <c r="I3364" s="26"/>
      <c r="J3364" s="26"/>
      <c r="K3364" s="26"/>
      <c r="L3364" s="26"/>
      <c r="M3364" s="26"/>
      <c r="N3364" s="26"/>
      <c r="P3364" s="214">
        <v>2713</v>
      </c>
      <c r="Q3364" s="215">
        <v>86</v>
      </c>
      <c r="R3364" s="216" t="s">
        <v>2624</v>
      </c>
      <c r="S3364" s="217"/>
      <c r="T3364" s="218"/>
      <c r="U3364" s="218"/>
      <c r="V3364" s="219"/>
      <c r="W3364" s="219"/>
    </row>
    <row r="3365" spans="1:23" ht="15" customHeight="1">
      <c r="C3365" s="3">
        <v>86</v>
      </c>
      <c r="D3365" s="15" t="s">
        <v>1931</v>
      </c>
      <c r="E3365" s="312" t="s">
        <v>2573</v>
      </c>
      <c r="G3365" s="26">
        <v>0</v>
      </c>
      <c r="H3365" s="26">
        <v>2670</v>
      </c>
      <c r="I3365" s="26">
        <v>18464</v>
      </c>
      <c r="J3365" s="26">
        <v>47679</v>
      </c>
      <c r="K3365" s="26">
        <v>45450</v>
      </c>
      <c r="L3365" s="26">
        <v>44719</v>
      </c>
      <c r="M3365" s="26">
        <v>50500</v>
      </c>
      <c r="N3365" s="26">
        <v>50500</v>
      </c>
      <c r="O3365" s="285"/>
      <c r="P3365" s="214">
        <v>2714</v>
      </c>
      <c r="Q3365" s="215">
        <v>86</v>
      </c>
      <c r="R3365" s="216" t="s">
        <v>1931</v>
      </c>
      <c r="S3365" s="217" t="s">
        <v>2573</v>
      </c>
      <c r="T3365" s="218">
        <v>45450</v>
      </c>
      <c r="U3365" s="218">
        <v>2000</v>
      </c>
      <c r="V3365" s="219">
        <v>46718.720000000001</v>
      </c>
      <c r="W3365" s="219">
        <v>102.79</v>
      </c>
    </row>
    <row r="3366" spans="1:23" ht="15" customHeight="1">
      <c r="C3366" s="3">
        <v>86</v>
      </c>
      <c r="G3366" s="26"/>
      <c r="H3366" s="26"/>
      <c r="I3366" s="26"/>
      <c r="J3366" s="26"/>
      <c r="K3366" s="26"/>
      <c r="L3366" s="26"/>
      <c r="M3366" s="26"/>
      <c r="N3366" s="26"/>
      <c r="P3366" s="214">
        <v>2715</v>
      </c>
      <c r="Q3366" s="215">
        <v>86</v>
      </c>
      <c r="R3366" s="216" t="s">
        <v>2623</v>
      </c>
      <c r="S3366" s="217"/>
      <c r="T3366" s="218"/>
      <c r="U3366" s="218"/>
      <c r="V3366" s="219"/>
      <c r="W3366" s="219"/>
    </row>
    <row r="3367" spans="1:23" s="200" customFormat="1" ht="15" customHeight="1">
      <c r="A3367" s="196" t="s">
        <v>104</v>
      </c>
      <c r="B3367" s="196" t="s">
        <v>2317</v>
      </c>
      <c r="C3367" s="75">
        <v>86</v>
      </c>
      <c r="D3367" s="323" t="s">
        <v>1969</v>
      </c>
      <c r="E3367" s="323"/>
      <c r="F3367" s="324"/>
      <c r="G3367" s="325">
        <f>SUM(G3363:G3366)</f>
        <v>0</v>
      </c>
      <c r="H3367" s="325">
        <f t="shared" ref="H3367:N3367" si="390">SUM(H3363:H3366)</f>
        <v>2670</v>
      </c>
      <c r="I3367" s="325">
        <f t="shared" si="390"/>
        <v>18464</v>
      </c>
      <c r="J3367" s="325">
        <f t="shared" si="390"/>
        <v>47679</v>
      </c>
      <c r="K3367" s="325">
        <f t="shared" si="390"/>
        <v>45450</v>
      </c>
      <c r="L3367" s="325">
        <f t="shared" si="390"/>
        <v>44719</v>
      </c>
      <c r="M3367" s="325">
        <f t="shared" si="390"/>
        <v>50500</v>
      </c>
      <c r="N3367" s="325">
        <f t="shared" si="390"/>
        <v>50500</v>
      </c>
      <c r="O3367" s="287"/>
      <c r="P3367" s="214">
        <v>2716</v>
      </c>
      <c r="Q3367" s="215">
        <v>86</v>
      </c>
      <c r="R3367" s="216" t="s">
        <v>104</v>
      </c>
      <c r="S3367" s="217"/>
      <c r="T3367" s="218">
        <v>45450</v>
      </c>
      <c r="U3367" s="218">
        <v>2000</v>
      </c>
      <c r="V3367" s="219">
        <v>46718.720000000001</v>
      </c>
      <c r="W3367" s="219">
        <v>0</v>
      </c>
    </row>
    <row r="3368" spans="1:23" ht="15" customHeight="1">
      <c r="C3368" s="3">
        <v>86</v>
      </c>
      <c r="G3368" s="26"/>
      <c r="H3368" s="26"/>
      <c r="I3368" s="26"/>
      <c r="J3368" s="26"/>
      <c r="K3368" s="26"/>
      <c r="L3368" s="26"/>
      <c r="M3368" s="26"/>
      <c r="N3368" s="26"/>
      <c r="P3368" s="214">
        <v>2717</v>
      </c>
      <c r="Q3368" s="215">
        <v>86</v>
      </c>
      <c r="R3368" s="216" t="s">
        <v>2623</v>
      </c>
      <c r="S3368" s="217"/>
      <c r="T3368" s="218"/>
      <c r="U3368" s="218"/>
      <c r="V3368" s="219"/>
      <c r="W3368" s="219"/>
    </row>
    <row r="3369" spans="1:23" ht="15" customHeight="1">
      <c r="B3369" s="2" t="s">
        <v>2317</v>
      </c>
      <c r="C3369" s="3">
        <v>86</v>
      </c>
      <c r="D3369" s="47" t="s">
        <v>1667</v>
      </c>
      <c r="G3369" s="26">
        <f>SUM(G3367:G3368)</f>
        <v>0</v>
      </c>
      <c r="H3369" s="26">
        <f t="shared" ref="H3369:N3369" si="391">SUM(H3367:H3368)</f>
        <v>2670</v>
      </c>
      <c r="I3369" s="26">
        <f t="shared" si="391"/>
        <v>18464</v>
      </c>
      <c r="J3369" s="26">
        <f t="shared" si="391"/>
        <v>47679</v>
      </c>
      <c r="K3369" s="26">
        <f t="shared" si="391"/>
        <v>45450</v>
      </c>
      <c r="L3369" s="26">
        <f t="shared" si="391"/>
        <v>44719</v>
      </c>
      <c r="M3369" s="26">
        <f t="shared" si="391"/>
        <v>50500</v>
      </c>
      <c r="N3369" s="26">
        <f t="shared" si="391"/>
        <v>50500</v>
      </c>
      <c r="P3369" s="214">
        <v>2718</v>
      </c>
      <c r="Q3369" s="215">
        <v>86</v>
      </c>
      <c r="R3369" s="216" t="s">
        <v>1667</v>
      </c>
      <c r="S3369" s="217"/>
      <c r="T3369" s="218">
        <v>45450</v>
      </c>
      <c r="U3369" s="218">
        <v>2000</v>
      </c>
      <c r="V3369" s="219">
        <v>46718.720000000001</v>
      </c>
      <c r="W3369" s="219">
        <v>102.79</v>
      </c>
    </row>
    <row r="3370" spans="1:23" ht="15" customHeight="1">
      <c r="C3370" s="3">
        <v>86</v>
      </c>
      <c r="D3370" s="47"/>
      <c r="G3370" s="26"/>
      <c r="H3370" s="26"/>
      <c r="I3370" s="26"/>
      <c r="J3370" s="26"/>
      <c r="K3370" s="26"/>
      <c r="L3370" s="26"/>
      <c r="M3370" s="26"/>
      <c r="N3370" s="26"/>
      <c r="P3370" s="222"/>
      <c r="Q3370" s="222"/>
      <c r="R3370" s="222"/>
      <c r="S3370" s="223"/>
      <c r="T3370" s="223"/>
      <c r="U3370" s="223"/>
      <c r="V3370" s="224"/>
      <c r="W3370" s="224"/>
    </row>
    <row r="3371" spans="1:23" s="31" customFormat="1" ht="15" customHeight="1">
      <c r="A3371" s="2"/>
      <c r="B3371" s="2" t="s">
        <v>2317</v>
      </c>
      <c r="C3371" s="3">
        <v>86</v>
      </c>
      <c r="D3371" s="54" t="s">
        <v>2286</v>
      </c>
      <c r="E3371" s="54"/>
      <c r="F3371" s="192"/>
      <c r="G3371" s="339">
        <f>SUM(G3369:G3370)</f>
        <v>0</v>
      </c>
      <c r="H3371" s="339">
        <f t="shared" ref="H3371:N3371" si="392">SUM(H3369:H3370)</f>
        <v>2670</v>
      </c>
      <c r="I3371" s="339">
        <f t="shared" si="392"/>
        <v>18464</v>
      </c>
      <c r="J3371" s="339">
        <f t="shared" si="392"/>
        <v>47679</v>
      </c>
      <c r="K3371" s="339">
        <f t="shared" si="392"/>
        <v>45450</v>
      </c>
      <c r="L3371" s="339">
        <f t="shared" si="392"/>
        <v>44719</v>
      </c>
      <c r="M3371" s="339">
        <f t="shared" si="392"/>
        <v>50500</v>
      </c>
      <c r="N3371" s="339">
        <f t="shared" si="392"/>
        <v>50500</v>
      </c>
      <c r="O3371" s="305"/>
      <c r="P3371" s="214">
        <v>2719</v>
      </c>
      <c r="Q3371" s="215">
        <v>86</v>
      </c>
      <c r="R3371" s="216" t="s">
        <v>2618</v>
      </c>
      <c r="S3371" s="217"/>
      <c r="T3371" s="218">
        <v>45450</v>
      </c>
      <c r="U3371" s="218">
        <v>2000</v>
      </c>
      <c r="V3371" s="219">
        <v>46718.720000000001</v>
      </c>
      <c r="W3371" s="219">
        <v>102.79</v>
      </c>
    </row>
    <row r="3372" spans="1:23" s="46" customFormat="1" ht="15" customHeight="1">
      <c r="A3372" s="5"/>
      <c r="B3372" s="5"/>
      <c r="C3372" s="3">
        <v>86</v>
      </c>
      <c r="D3372" s="47"/>
      <c r="E3372" s="47"/>
      <c r="F3372" s="191"/>
      <c r="G3372" s="56"/>
      <c r="H3372" s="56"/>
      <c r="I3372" s="56"/>
      <c r="J3372" s="56"/>
      <c r="K3372" s="56"/>
      <c r="L3372" s="56"/>
      <c r="M3372" s="56"/>
      <c r="N3372" s="56"/>
      <c r="O3372" s="289"/>
      <c r="P3372" s="221"/>
      <c r="Q3372" s="221"/>
      <c r="R3372" s="221"/>
      <c r="S3372" s="221"/>
      <c r="T3372" s="221"/>
      <c r="U3372" s="221"/>
      <c r="V3372" s="221"/>
      <c r="W3372" s="221"/>
    </row>
    <row r="3373" spans="1:23" s="33" customFormat="1" ht="15" customHeight="1" thickBot="1">
      <c r="A3373" s="2"/>
      <c r="B3373" s="2" t="s">
        <v>2317</v>
      </c>
      <c r="C3373" s="3">
        <v>86</v>
      </c>
      <c r="D3373" s="329" t="s">
        <v>2261</v>
      </c>
      <c r="E3373" s="329"/>
      <c r="F3373" s="330"/>
      <c r="G3373" s="336">
        <f>+G3361-G3371</f>
        <v>0</v>
      </c>
      <c r="H3373" s="336">
        <f t="shared" ref="H3373:N3373" si="393">+H3361-H3371</f>
        <v>15304</v>
      </c>
      <c r="I3373" s="336">
        <f t="shared" si="393"/>
        <v>19821</v>
      </c>
      <c r="J3373" s="336">
        <f t="shared" si="393"/>
        <v>5668</v>
      </c>
      <c r="K3373" s="336">
        <f t="shared" si="393"/>
        <v>0</v>
      </c>
      <c r="L3373" s="336">
        <f t="shared" si="393"/>
        <v>-9565</v>
      </c>
      <c r="M3373" s="336">
        <f t="shared" si="393"/>
        <v>0</v>
      </c>
      <c r="N3373" s="336">
        <f t="shared" si="393"/>
        <v>0</v>
      </c>
      <c r="O3373" s="301"/>
      <c r="P3373" s="214">
        <v>2720</v>
      </c>
      <c r="Q3373" s="215">
        <v>86</v>
      </c>
      <c r="R3373" s="216" t="s">
        <v>2619</v>
      </c>
      <c r="S3373" s="217"/>
      <c r="T3373" s="218">
        <v>0</v>
      </c>
      <c r="U3373" s="218">
        <v>3176.61</v>
      </c>
      <c r="V3373" s="219">
        <v>-6388.58</v>
      </c>
      <c r="W3373" s="219">
        <v>0</v>
      </c>
    </row>
    <row r="3374" spans="1:23" s="46" customFormat="1" ht="15" customHeight="1" thickTop="1">
      <c r="A3374" s="5"/>
      <c r="B3374" s="5"/>
      <c r="C3374" s="3">
        <v>86</v>
      </c>
      <c r="D3374" s="47"/>
      <c r="E3374" s="47"/>
      <c r="F3374" s="191"/>
      <c r="G3374" s="56"/>
      <c r="H3374" s="56"/>
      <c r="I3374" s="56"/>
      <c r="J3374" s="56"/>
      <c r="K3374" s="56"/>
      <c r="L3374" s="56"/>
      <c r="M3374" s="56"/>
      <c r="N3374" s="56"/>
      <c r="O3374" s="289"/>
      <c r="P3374" s="221"/>
      <c r="Q3374" s="221"/>
      <c r="R3374" s="221"/>
      <c r="S3374" s="221"/>
      <c r="T3374" s="221"/>
      <c r="U3374" s="221"/>
      <c r="V3374" s="221"/>
      <c r="W3374" s="221"/>
    </row>
    <row r="3375" spans="1:23" ht="15" customHeight="1">
      <c r="C3375" s="3">
        <v>86</v>
      </c>
      <c r="D3375" s="54" t="s">
        <v>2875</v>
      </c>
      <c r="E3375" s="54"/>
      <c r="F3375" s="192"/>
      <c r="G3375" s="55"/>
      <c r="H3375" s="55"/>
      <c r="I3375" s="55"/>
      <c r="J3375" s="55"/>
      <c r="K3375" s="55">
        <f>+K3356</f>
        <v>40793.239999999991</v>
      </c>
      <c r="L3375" s="55"/>
      <c r="M3375" s="55">
        <f>+M3356</f>
        <v>40793.239999999991</v>
      </c>
      <c r="N3375" s="55">
        <f>+N3356</f>
        <v>40793.239999999991</v>
      </c>
      <c r="O3375" s="253"/>
      <c r="P3375" s="203"/>
      <c r="Q3375" s="204"/>
      <c r="R3375" s="205"/>
      <c r="S3375" s="206"/>
      <c r="T3375" s="207"/>
      <c r="U3375" s="207"/>
      <c r="V3375" s="208"/>
      <c r="W3375" s="212"/>
    </row>
    <row r="3376" spans="1:23" s="46" customFormat="1" ht="15" customHeight="1">
      <c r="A3376" s="195"/>
      <c r="B3376" s="195"/>
      <c r="C3376" s="3">
        <v>86</v>
      </c>
      <c r="D3376" s="47"/>
      <c r="E3376" s="47"/>
      <c r="F3376" s="191"/>
      <c r="G3376" s="56"/>
      <c r="H3376" s="56"/>
      <c r="I3376" s="56"/>
      <c r="J3376" s="56"/>
      <c r="K3376" s="56"/>
      <c r="L3376" s="56"/>
      <c r="M3376" s="56"/>
      <c r="N3376" s="56"/>
      <c r="O3376" s="289"/>
      <c r="P3376" s="221"/>
      <c r="Q3376" s="221"/>
      <c r="R3376" s="221"/>
      <c r="S3376" s="221"/>
      <c r="T3376" s="221"/>
      <c r="U3376" s="221"/>
      <c r="V3376" s="221"/>
      <c r="W3376" s="221"/>
    </row>
    <row r="3377" spans="1:23" s="35" customFormat="1" ht="15" customHeight="1">
      <c r="A3377" s="2"/>
      <c r="B3377" s="2"/>
      <c r="C3377" s="3">
        <v>86</v>
      </c>
      <c r="D3377" s="47" t="s">
        <v>1976</v>
      </c>
      <c r="E3377" s="47"/>
      <c r="F3377" s="191"/>
      <c r="G3377" s="48"/>
      <c r="H3377" s="48"/>
      <c r="I3377" s="48"/>
      <c r="J3377" s="48"/>
      <c r="K3377" s="48"/>
      <c r="L3377" s="48"/>
      <c r="M3377" s="48"/>
      <c r="N3377" s="48"/>
      <c r="O3377" s="276"/>
      <c r="P3377" s="214">
        <v>2721</v>
      </c>
      <c r="Q3377" s="215">
        <v>86</v>
      </c>
      <c r="R3377" s="216" t="s">
        <v>2630</v>
      </c>
      <c r="S3377" s="217"/>
      <c r="T3377" s="218"/>
      <c r="U3377" s="218"/>
      <c r="V3377" s="219"/>
      <c r="W3377" s="219"/>
    </row>
    <row r="3378" spans="1:23" s="35" customFormat="1" ht="15" customHeight="1">
      <c r="A3378" s="2"/>
      <c r="B3378" s="2"/>
      <c r="C3378" s="3"/>
      <c r="D3378" s="47"/>
      <c r="E3378" s="47"/>
      <c r="F3378" s="191"/>
      <c r="G3378" s="48"/>
      <c r="H3378" s="48"/>
      <c r="I3378" s="48"/>
      <c r="J3378" s="48"/>
      <c r="K3378" s="48"/>
      <c r="L3378" s="48"/>
      <c r="M3378" s="48"/>
      <c r="N3378" s="48"/>
      <c r="O3378" s="276"/>
    </row>
    <row r="3379" spans="1:23" s="35" customFormat="1" ht="15" customHeight="1">
      <c r="A3379" s="2"/>
      <c r="B3379" s="2"/>
      <c r="C3379" s="3"/>
      <c r="D3379" s="47"/>
      <c r="E3379" s="47"/>
      <c r="F3379" s="191"/>
      <c r="G3379" s="48"/>
      <c r="H3379" s="48"/>
      <c r="I3379" s="48"/>
      <c r="J3379" s="48"/>
      <c r="K3379" s="48"/>
      <c r="L3379" s="48"/>
      <c r="M3379" s="48"/>
      <c r="N3379" s="48"/>
      <c r="O3379" s="276"/>
    </row>
    <row r="3380" spans="1:23" s="35" customFormat="1" ht="15" customHeight="1">
      <c r="A3380" s="2"/>
      <c r="B3380" s="2"/>
      <c r="C3380" s="3"/>
      <c r="D3380" s="47"/>
      <c r="E3380" s="47"/>
      <c r="F3380" s="191"/>
      <c r="G3380" s="48"/>
      <c r="H3380" s="48"/>
      <c r="I3380" s="48"/>
      <c r="J3380" s="48"/>
      <c r="K3380" s="48"/>
      <c r="L3380" s="48"/>
      <c r="M3380" s="48"/>
      <c r="N3380" s="48"/>
      <c r="O3380" s="276"/>
    </row>
    <row r="3381" spans="1:23" s="35" customFormat="1" ht="15" customHeight="1">
      <c r="A3381" s="2"/>
      <c r="B3381" s="2"/>
      <c r="C3381" s="3">
        <v>90</v>
      </c>
      <c r="D3381" s="47" t="s">
        <v>2399</v>
      </c>
      <c r="E3381" s="47"/>
      <c r="F3381" s="191"/>
      <c r="G3381" s="48"/>
      <c r="H3381" s="48"/>
      <c r="I3381" s="48"/>
      <c r="J3381" s="48"/>
      <c r="K3381" s="48"/>
      <c r="L3381" s="48"/>
      <c r="M3381" s="48"/>
      <c r="N3381" s="48"/>
      <c r="O3381" s="276"/>
    </row>
    <row r="3382" spans="1:23" s="35" customFormat="1" ht="15" customHeight="1">
      <c r="A3382" s="2"/>
      <c r="B3382" s="2"/>
      <c r="C3382" s="3">
        <v>90</v>
      </c>
      <c r="D3382" s="47"/>
      <c r="E3382" s="47"/>
      <c r="F3382" s="191"/>
      <c r="G3382" s="48"/>
      <c r="H3382" s="48"/>
      <c r="I3382" s="48"/>
      <c r="J3382" s="48"/>
      <c r="K3382" s="48"/>
      <c r="L3382" s="48"/>
      <c r="M3382" s="48"/>
      <c r="N3382" s="48"/>
      <c r="O3382" s="276"/>
    </row>
    <row r="3383" spans="1:23" ht="15" customHeight="1">
      <c r="C3383" s="3">
        <v>90</v>
      </c>
      <c r="D3383" s="54" t="s">
        <v>2874</v>
      </c>
      <c r="E3383" s="54"/>
      <c r="F3383" s="192"/>
      <c r="G3383" s="55"/>
      <c r="H3383" s="55"/>
      <c r="I3383" s="55"/>
      <c r="J3383" s="55"/>
      <c r="K3383" s="55">
        <v>237372.13</v>
      </c>
      <c r="L3383" s="55"/>
      <c r="M3383" s="55">
        <v>237372.13</v>
      </c>
      <c r="N3383" s="55">
        <f>+M3399</f>
        <v>27534.130000000005</v>
      </c>
      <c r="O3383" s="278"/>
      <c r="P3383" s="203"/>
      <c r="Q3383" s="204"/>
      <c r="R3383" s="205"/>
      <c r="S3383" s="206"/>
      <c r="T3383" s="207"/>
      <c r="U3383" s="207"/>
      <c r="V3383" s="208"/>
      <c r="W3383" s="212"/>
    </row>
    <row r="3384" spans="1:23" s="35" customFormat="1" ht="15" customHeight="1">
      <c r="A3384" s="2"/>
      <c r="B3384" s="2"/>
      <c r="C3384" s="3">
        <v>90</v>
      </c>
      <c r="D3384" s="47"/>
      <c r="E3384" s="47"/>
      <c r="F3384" s="191"/>
      <c r="G3384" s="48"/>
      <c r="H3384" s="48"/>
      <c r="I3384" s="48"/>
      <c r="J3384" s="48"/>
      <c r="K3384" s="48"/>
      <c r="L3384" s="48"/>
      <c r="M3384" s="48"/>
      <c r="N3384" s="48"/>
      <c r="O3384" s="276"/>
    </row>
    <row r="3385" spans="1:23" ht="15" customHeight="1">
      <c r="C3385" s="3">
        <v>90</v>
      </c>
      <c r="D3385" s="47" t="s">
        <v>2236</v>
      </c>
      <c r="G3385" s="26"/>
      <c r="H3385" s="26"/>
      <c r="I3385" s="26"/>
      <c r="J3385" s="26"/>
      <c r="K3385" s="26"/>
      <c r="L3385" s="26"/>
      <c r="M3385" s="26"/>
      <c r="N3385" s="26"/>
      <c r="P3385" s="214">
        <v>2722</v>
      </c>
      <c r="Q3385" s="215">
        <v>90</v>
      </c>
      <c r="R3385" s="216" t="s">
        <v>2610</v>
      </c>
      <c r="S3385" s="217"/>
      <c r="T3385" s="218"/>
      <c r="U3385" s="218"/>
      <c r="V3385" s="219"/>
      <c r="W3385" s="219"/>
    </row>
    <row r="3386" spans="1:23" ht="15" customHeight="1">
      <c r="C3386" s="3">
        <v>90</v>
      </c>
      <c r="G3386" s="26"/>
      <c r="H3386" s="26"/>
      <c r="I3386" s="26"/>
      <c r="J3386" s="26"/>
      <c r="K3386" s="26"/>
      <c r="L3386" s="26"/>
      <c r="M3386" s="26"/>
      <c r="N3386" s="26"/>
      <c r="P3386" s="214">
        <v>2723</v>
      </c>
      <c r="Q3386" s="215">
        <v>90</v>
      </c>
      <c r="R3386" s="216" t="s">
        <v>2611</v>
      </c>
      <c r="S3386" s="217"/>
      <c r="T3386" s="218"/>
      <c r="U3386" s="218"/>
      <c r="V3386" s="219"/>
      <c r="W3386" s="219"/>
    </row>
    <row r="3387" spans="1:23" s="21" customFormat="1" ht="15" customHeight="1">
      <c r="A3387" s="2"/>
      <c r="B3387" s="2" t="s">
        <v>2318</v>
      </c>
      <c r="C3387" s="3">
        <v>90</v>
      </c>
      <c r="D3387" s="54" t="s">
        <v>2212</v>
      </c>
      <c r="E3387" s="54"/>
      <c r="F3387" s="192"/>
      <c r="G3387" s="55">
        <f>+G3389</f>
        <v>67205</v>
      </c>
      <c r="H3387" s="55">
        <f t="shared" ref="H3387:N3387" si="394">+H3389</f>
        <v>51518</v>
      </c>
      <c r="I3387" s="55">
        <f t="shared" si="394"/>
        <v>80403</v>
      </c>
      <c r="J3387" s="55">
        <f t="shared" si="394"/>
        <v>26073</v>
      </c>
      <c r="K3387" s="55">
        <f t="shared" si="394"/>
        <v>20750</v>
      </c>
      <c r="L3387" s="55">
        <f t="shared" si="394"/>
        <v>13201</v>
      </c>
      <c r="M3387" s="55">
        <f t="shared" si="394"/>
        <v>19750</v>
      </c>
      <c r="N3387" s="55">
        <f t="shared" si="394"/>
        <v>19050</v>
      </c>
      <c r="O3387" s="279"/>
      <c r="P3387" s="214">
        <v>2724</v>
      </c>
      <c r="Q3387" s="215">
        <v>90</v>
      </c>
      <c r="R3387" s="216" t="s">
        <v>2612</v>
      </c>
      <c r="S3387" s="217"/>
      <c r="T3387" s="218">
        <v>20750</v>
      </c>
      <c r="U3387" s="218">
        <v>1804.88</v>
      </c>
      <c r="V3387" s="219">
        <v>15005.46</v>
      </c>
      <c r="W3387" s="219">
        <v>72.319999999999993</v>
      </c>
    </row>
    <row r="3388" spans="1:23" s="57" customFormat="1" ht="15" customHeight="1">
      <c r="A3388" s="5"/>
      <c r="B3388" s="5"/>
      <c r="C3388" s="3">
        <v>90</v>
      </c>
      <c r="D3388" s="54"/>
      <c r="E3388" s="54"/>
      <c r="F3388" s="192"/>
      <c r="G3388" s="55"/>
      <c r="H3388" s="55"/>
      <c r="I3388" s="55"/>
      <c r="J3388" s="55"/>
      <c r="K3388" s="55"/>
      <c r="L3388" s="55"/>
      <c r="M3388" s="55"/>
      <c r="N3388" s="55"/>
      <c r="O3388" s="302"/>
      <c r="P3388" s="220"/>
      <c r="Q3388" s="220"/>
      <c r="R3388" s="220"/>
      <c r="S3388" s="220"/>
      <c r="T3388" s="220"/>
      <c r="U3388" s="220"/>
      <c r="V3388" s="220"/>
      <c r="W3388" s="220"/>
    </row>
    <row r="3389" spans="1:23" s="27" customFormat="1" ht="15" customHeight="1" thickBot="1">
      <c r="A3389" s="2"/>
      <c r="B3389" s="2" t="s">
        <v>2318</v>
      </c>
      <c r="C3389" s="3">
        <v>90</v>
      </c>
      <c r="D3389" s="68" t="str">
        <f>+D3405</f>
        <v>*** TOTAL FUND 90 REVENUES ***</v>
      </c>
      <c r="E3389" s="68"/>
      <c r="F3389" s="68">
        <f>+F3405</f>
        <v>0</v>
      </c>
      <c r="G3389" s="69">
        <f>+G3405</f>
        <v>67205</v>
      </c>
      <c r="H3389" s="69">
        <f t="shared" ref="H3389:N3389" si="395">+H3405</f>
        <v>51518</v>
      </c>
      <c r="I3389" s="69">
        <f t="shared" si="395"/>
        <v>80403</v>
      </c>
      <c r="J3389" s="69">
        <f t="shared" si="395"/>
        <v>26073</v>
      </c>
      <c r="K3389" s="69">
        <f t="shared" si="395"/>
        <v>20750</v>
      </c>
      <c r="L3389" s="69">
        <f t="shared" si="395"/>
        <v>13201</v>
      </c>
      <c r="M3389" s="69">
        <f t="shared" si="395"/>
        <v>19750</v>
      </c>
      <c r="N3389" s="69">
        <f t="shared" si="395"/>
        <v>19050</v>
      </c>
      <c r="O3389" s="281"/>
      <c r="P3389" s="214">
        <v>2725</v>
      </c>
      <c r="Q3389" s="215">
        <v>90</v>
      </c>
      <c r="R3389" s="216" t="s">
        <v>2613</v>
      </c>
      <c r="S3389" s="217"/>
      <c r="T3389" s="218">
        <v>20750</v>
      </c>
      <c r="U3389" s="218">
        <v>1804.88</v>
      </c>
      <c r="V3389" s="219">
        <v>15005.46</v>
      </c>
      <c r="W3389" s="219">
        <v>72.319999999999993</v>
      </c>
    </row>
    <row r="3390" spans="1:23" s="46" customFormat="1" ht="15" customHeight="1" thickTop="1">
      <c r="A3390" s="5"/>
      <c r="B3390" s="5"/>
      <c r="C3390" s="3">
        <v>90</v>
      </c>
      <c r="D3390" s="47"/>
      <c r="E3390" s="47"/>
      <c r="F3390" s="47"/>
      <c r="G3390" s="56"/>
      <c r="H3390" s="56"/>
      <c r="I3390" s="56"/>
      <c r="J3390" s="56"/>
      <c r="K3390" s="56"/>
      <c r="L3390" s="56"/>
      <c r="M3390" s="56"/>
      <c r="N3390" s="56"/>
      <c r="O3390" s="289"/>
      <c r="P3390" s="221"/>
      <c r="Q3390" s="221"/>
      <c r="R3390" s="221"/>
      <c r="S3390" s="221"/>
      <c r="T3390" s="221"/>
      <c r="U3390" s="221"/>
      <c r="V3390" s="221"/>
      <c r="W3390" s="221"/>
    </row>
    <row r="3391" spans="1:23" ht="15" customHeight="1">
      <c r="C3391" s="3">
        <v>90</v>
      </c>
      <c r="D3391" s="47" t="s">
        <v>1977</v>
      </c>
      <c r="G3391" s="26"/>
      <c r="H3391" s="26"/>
      <c r="I3391" s="26"/>
      <c r="J3391" s="26"/>
      <c r="K3391" s="26"/>
      <c r="L3391" s="26"/>
      <c r="M3391" s="26"/>
      <c r="N3391" s="26"/>
      <c r="P3391" s="214">
        <v>2726</v>
      </c>
      <c r="Q3391" s="215">
        <v>90</v>
      </c>
      <c r="R3391" s="216" t="s">
        <v>2614</v>
      </c>
      <c r="S3391" s="217"/>
      <c r="T3391" s="218"/>
      <c r="U3391" s="218"/>
      <c r="V3391" s="219"/>
      <c r="W3391" s="219"/>
    </row>
    <row r="3392" spans="1:23" ht="15" customHeight="1">
      <c r="C3392" s="3">
        <v>90</v>
      </c>
      <c r="G3392" s="26"/>
      <c r="H3392" s="26"/>
      <c r="I3392" s="26"/>
      <c r="J3392" s="26"/>
      <c r="K3392" s="26"/>
      <c r="L3392" s="26"/>
      <c r="M3392" s="26"/>
      <c r="N3392" s="26"/>
      <c r="P3392" s="214">
        <v>2727</v>
      </c>
      <c r="Q3392" s="215">
        <v>90</v>
      </c>
      <c r="R3392" s="216" t="s">
        <v>2615</v>
      </c>
      <c r="S3392" s="217"/>
      <c r="T3392" s="218"/>
      <c r="U3392" s="218"/>
      <c r="V3392" s="219"/>
      <c r="W3392" s="219"/>
    </row>
    <row r="3393" spans="1:23" ht="15" customHeight="1">
      <c r="B3393" s="2" t="s">
        <v>2318</v>
      </c>
      <c r="C3393" s="3">
        <v>90</v>
      </c>
      <c r="D3393" s="47" t="s">
        <v>1667</v>
      </c>
      <c r="G3393" s="26">
        <f>+G3421</f>
        <v>-1063</v>
      </c>
      <c r="H3393" s="26">
        <f t="shared" ref="H3393:N3393" si="396">+H3421</f>
        <v>68879</v>
      </c>
      <c r="I3393" s="26">
        <f t="shared" si="396"/>
        <v>0</v>
      </c>
      <c r="J3393" s="26">
        <f t="shared" si="396"/>
        <v>0</v>
      </c>
      <c r="K3393" s="26">
        <f t="shared" si="396"/>
        <v>0</v>
      </c>
      <c r="L3393" s="26">
        <f t="shared" si="396"/>
        <v>220834</v>
      </c>
      <c r="M3393" s="26">
        <f t="shared" si="396"/>
        <v>229588</v>
      </c>
      <c r="N3393" s="26">
        <f t="shared" si="396"/>
        <v>0</v>
      </c>
      <c r="P3393" s="222"/>
      <c r="Q3393" s="222"/>
      <c r="R3393" s="222"/>
      <c r="S3393" s="223"/>
      <c r="T3393" s="223"/>
      <c r="U3393" s="223"/>
      <c r="V3393" s="224"/>
      <c r="W3393" s="224"/>
    </row>
    <row r="3394" spans="1:23" ht="15" customHeight="1">
      <c r="C3394" s="3">
        <v>90</v>
      </c>
      <c r="D3394" s="47"/>
      <c r="G3394" s="26"/>
      <c r="H3394" s="26"/>
      <c r="I3394" s="26"/>
      <c r="J3394" s="26"/>
      <c r="K3394" s="26"/>
      <c r="L3394" s="26"/>
      <c r="M3394" s="26"/>
      <c r="N3394" s="26"/>
      <c r="P3394" s="214">
        <v>2728</v>
      </c>
      <c r="Q3394" s="215">
        <v>90</v>
      </c>
      <c r="R3394" s="216" t="s">
        <v>1667</v>
      </c>
      <c r="S3394" s="217"/>
      <c r="T3394" s="218">
        <v>0</v>
      </c>
      <c r="U3394" s="218">
        <v>0</v>
      </c>
      <c r="V3394" s="219">
        <v>220834.39</v>
      </c>
      <c r="W3394" s="219">
        <v>0</v>
      </c>
    </row>
    <row r="3395" spans="1:23" s="37" customFormat="1" ht="15" customHeight="1">
      <c r="A3395" s="2"/>
      <c r="B3395" s="2" t="s">
        <v>2318</v>
      </c>
      <c r="C3395" s="3">
        <v>90</v>
      </c>
      <c r="D3395" s="54" t="str">
        <f>+D3423</f>
        <v>*** TOTAL FUND 90 EXPENSES ***</v>
      </c>
      <c r="E3395" s="54"/>
      <c r="F3395" s="54">
        <f t="shared" ref="F3395:N3395" si="397">+F3423</f>
        <v>0</v>
      </c>
      <c r="G3395" s="339">
        <f t="shared" si="397"/>
        <v>-1063</v>
      </c>
      <c r="H3395" s="339">
        <f t="shared" si="397"/>
        <v>68879</v>
      </c>
      <c r="I3395" s="339">
        <f t="shared" si="397"/>
        <v>0</v>
      </c>
      <c r="J3395" s="339">
        <f t="shared" si="397"/>
        <v>0</v>
      </c>
      <c r="K3395" s="339">
        <f t="shared" si="397"/>
        <v>0</v>
      </c>
      <c r="L3395" s="339">
        <f t="shared" si="397"/>
        <v>220834</v>
      </c>
      <c r="M3395" s="339">
        <f t="shared" si="397"/>
        <v>229588</v>
      </c>
      <c r="N3395" s="339">
        <f t="shared" si="397"/>
        <v>0</v>
      </c>
      <c r="O3395" s="303"/>
      <c r="P3395" s="214">
        <v>2729</v>
      </c>
      <c r="Q3395" s="215">
        <v>90</v>
      </c>
      <c r="R3395" s="216" t="s">
        <v>2618</v>
      </c>
      <c r="S3395" s="217"/>
      <c r="T3395" s="218">
        <v>0</v>
      </c>
      <c r="U3395" s="218">
        <v>0</v>
      </c>
      <c r="V3395" s="219">
        <v>220834.39</v>
      </c>
      <c r="W3395" s="219">
        <v>0</v>
      </c>
    </row>
    <row r="3396" spans="1:23" s="46" customFormat="1" ht="15" customHeight="1">
      <c r="A3396" s="5"/>
      <c r="B3396" s="5"/>
      <c r="C3396" s="3">
        <v>90</v>
      </c>
      <c r="D3396" s="47"/>
      <c r="E3396" s="47"/>
      <c r="F3396" s="47"/>
      <c r="G3396" s="56"/>
      <c r="H3396" s="56"/>
      <c r="I3396" s="56"/>
      <c r="J3396" s="56"/>
      <c r="K3396" s="56"/>
      <c r="L3396" s="56"/>
      <c r="M3396" s="56"/>
      <c r="N3396" s="56"/>
      <c r="O3396" s="289"/>
      <c r="P3396" s="221"/>
      <c r="Q3396" s="221"/>
      <c r="R3396" s="221"/>
      <c r="S3396" s="221"/>
      <c r="T3396" s="221"/>
      <c r="U3396" s="221"/>
      <c r="V3396" s="221"/>
      <c r="W3396" s="221"/>
    </row>
    <row r="3397" spans="1:23" s="33" customFormat="1" ht="15" customHeight="1" thickBot="1">
      <c r="A3397" s="2"/>
      <c r="B3397" s="2" t="s">
        <v>2318</v>
      </c>
      <c r="C3397" s="3">
        <v>90</v>
      </c>
      <c r="D3397" s="335" t="str">
        <f>+D3425</f>
        <v>*** FUND 90 REVENUES OVER(UNDER) EXPENSES ***</v>
      </c>
      <c r="E3397" s="336"/>
      <c r="F3397" s="336">
        <f>+F3425</f>
        <v>0</v>
      </c>
      <c r="G3397" s="336">
        <f>+G3425</f>
        <v>68268</v>
      </c>
      <c r="H3397" s="336">
        <f t="shared" ref="H3397:N3397" si="398">+H3425</f>
        <v>-17361</v>
      </c>
      <c r="I3397" s="336">
        <f t="shared" si="398"/>
        <v>80403</v>
      </c>
      <c r="J3397" s="336">
        <f t="shared" si="398"/>
        <v>26073</v>
      </c>
      <c r="K3397" s="336">
        <f t="shared" si="398"/>
        <v>20750</v>
      </c>
      <c r="L3397" s="336">
        <f t="shared" si="398"/>
        <v>-207633</v>
      </c>
      <c r="M3397" s="336">
        <f t="shared" si="398"/>
        <v>-209838</v>
      </c>
      <c r="N3397" s="336">
        <f t="shared" si="398"/>
        <v>19050</v>
      </c>
      <c r="O3397" s="301"/>
      <c r="P3397" s="214">
        <v>2730</v>
      </c>
      <c r="Q3397" s="215">
        <v>90</v>
      </c>
      <c r="R3397" s="216" t="s">
        <v>2619</v>
      </c>
      <c r="S3397" s="217"/>
      <c r="T3397" s="218">
        <v>20750</v>
      </c>
      <c r="U3397" s="218">
        <v>1804.88</v>
      </c>
      <c r="V3397" s="219">
        <v>-205828.93</v>
      </c>
      <c r="W3397" s="219">
        <v>-991.95</v>
      </c>
    </row>
    <row r="3398" spans="1:23" s="46" customFormat="1" ht="15" customHeight="1" thickTop="1">
      <c r="A3398" s="5"/>
      <c r="B3398" s="5"/>
      <c r="C3398" s="3">
        <v>90</v>
      </c>
      <c r="D3398" s="58"/>
      <c r="E3398" s="56"/>
      <c r="F3398" s="56"/>
      <c r="G3398" s="56"/>
      <c r="H3398" s="56"/>
      <c r="I3398" s="56"/>
      <c r="J3398" s="56"/>
      <c r="K3398" s="56"/>
      <c r="L3398" s="56"/>
      <c r="M3398" s="56"/>
      <c r="N3398" s="56"/>
      <c r="O3398" s="289"/>
      <c r="P3398" s="221"/>
      <c r="Q3398" s="221"/>
      <c r="R3398" s="221"/>
      <c r="S3398" s="221"/>
      <c r="T3398" s="221"/>
      <c r="U3398" s="221"/>
      <c r="V3398" s="221"/>
      <c r="W3398" s="221"/>
    </row>
    <row r="3399" spans="1:23" ht="15" customHeight="1">
      <c r="C3399" s="3">
        <v>90</v>
      </c>
      <c r="D3399" s="54" t="s">
        <v>2875</v>
      </c>
      <c r="E3399" s="54"/>
      <c r="F3399" s="192"/>
      <c r="G3399" s="55"/>
      <c r="H3399" s="55"/>
      <c r="I3399" s="55"/>
      <c r="J3399" s="55"/>
      <c r="K3399" s="55">
        <f>+K3383+K3389-K3395</f>
        <v>258122.13</v>
      </c>
      <c r="L3399" s="55"/>
      <c r="M3399" s="55">
        <f>+M3383+M3389-M3395</f>
        <v>27534.130000000005</v>
      </c>
      <c r="N3399" s="55">
        <f>+N3383+N3389-N3395</f>
        <v>46584.130000000005</v>
      </c>
      <c r="O3399" s="253"/>
      <c r="P3399" s="203"/>
      <c r="Q3399" s="204"/>
      <c r="R3399" s="205"/>
      <c r="S3399" s="206"/>
      <c r="T3399" s="207"/>
      <c r="U3399" s="207"/>
      <c r="V3399" s="208"/>
      <c r="W3399" s="212"/>
    </row>
    <row r="3400" spans="1:23" s="46" customFormat="1" ht="15" customHeight="1">
      <c r="A3400" s="195"/>
      <c r="B3400" s="195"/>
      <c r="C3400" s="3">
        <v>90</v>
      </c>
      <c r="D3400" s="58"/>
      <c r="E3400" s="56"/>
      <c r="F3400" s="56"/>
      <c r="G3400" s="56"/>
      <c r="H3400" s="56"/>
      <c r="I3400" s="56"/>
      <c r="J3400" s="56"/>
      <c r="K3400" s="56"/>
      <c r="L3400" s="56"/>
      <c r="M3400" s="26"/>
      <c r="N3400" s="26"/>
      <c r="O3400" s="289"/>
      <c r="P3400" s="221"/>
      <c r="Q3400" s="221"/>
      <c r="R3400" s="221"/>
      <c r="S3400" s="221"/>
      <c r="T3400" s="221"/>
      <c r="U3400" s="221"/>
      <c r="V3400" s="221"/>
      <c r="W3400" s="221"/>
    </row>
    <row r="3401" spans="1:23" ht="15" customHeight="1">
      <c r="C3401" s="3">
        <v>90</v>
      </c>
      <c r="D3401" s="313">
        <v>4130.8</v>
      </c>
      <c r="E3401" s="312" t="s">
        <v>1932</v>
      </c>
      <c r="G3401" s="26">
        <v>52636</v>
      </c>
      <c r="H3401" s="26">
        <v>47525</v>
      </c>
      <c r="I3401" s="26">
        <v>52892</v>
      </c>
      <c r="J3401" s="26">
        <v>23819</v>
      </c>
      <c r="K3401" s="26">
        <v>18750</v>
      </c>
      <c r="L3401" s="26">
        <v>12309</v>
      </c>
      <c r="M3401" s="26">
        <f>+M3105</f>
        <v>18750</v>
      </c>
      <c r="N3401" s="26">
        <f>+N3105</f>
        <v>18750</v>
      </c>
      <c r="O3401" s="285" t="s">
        <v>3054</v>
      </c>
      <c r="P3401" s="214">
        <v>2731</v>
      </c>
      <c r="Q3401" s="215">
        <v>90</v>
      </c>
      <c r="R3401" s="216">
        <v>4130.8</v>
      </c>
      <c r="S3401" s="217" t="s">
        <v>1932</v>
      </c>
      <c r="T3401" s="218">
        <v>18750</v>
      </c>
      <c r="U3401" s="218">
        <v>1801.15</v>
      </c>
      <c r="V3401" s="219">
        <v>14110.01</v>
      </c>
      <c r="W3401" s="219">
        <v>75.25</v>
      </c>
    </row>
    <row r="3402" spans="1:23" ht="15" customHeight="1">
      <c r="C3402" s="3">
        <v>90</v>
      </c>
      <c r="D3402" s="15">
        <v>4330</v>
      </c>
      <c r="E3402" s="312" t="s">
        <v>1669</v>
      </c>
      <c r="G3402" s="26">
        <v>14569</v>
      </c>
      <c r="H3402" s="26">
        <v>3993</v>
      </c>
      <c r="I3402" s="26">
        <v>4514</v>
      </c>
      <c r="J3402" s="26">
        <v>2254</v>
      </c>
      <c r="K3402" s="26">
        <v>2000</v>
      </c>
      <c r="L3402" s="26">
        <v>892</v>
      </c>
      <c r="M3402" s="26">
        <v>1000</v>
      </c>
      <c r="N3402" s="26">
        <v>300</v>
      </c>
      <c r="O3402" s="285"/>
      <c r="P3402" s="214">
        <v>2732</v>
      </c>
      <c r="Q3402" s="215">
        <v>90</v>
      </c>
      <c r="R3402" s="216">
        <v>4330</v>
      </c>
      <c r="S3402" s="217" t="s">
        <v>1669</v>
      </c>
      <c r="T3402" s="218">
        <v>2000</v>
      </c>
      <c r="U3402" s="218">
        <v>3.73</v>
      </c>
      <c r="V3402" s="219">
        <v>895.45</v>
      </c>
      <c r="W3402" s="219">
        <v>44.77</v>
      </c>
    </row>
    <row r="3403" spans="1:23" ht="15" customHeight="1">
      <c r="C3403" s="3">
        <v>90</v>
      </c>
      <c r="D3403" s="15">
        <v>4890</v>
      </c>
      <c r="E3403" s="312" t="s">
        <v>66</v>
      </c>
      <c r="G3403" s="26">
        <v>0</v>
      </c>
      <c r="H3403" s="26">
        <v>0</v>
      </c>
      <c r="I3403" s="26">
        <v>22997</v>
      </c>
      <c r="J3403" s="26">
        <v>0</v>
      </c>
      <c r="K3403" s="26">
        <v>0</v>
      </c>
      <c r="L3403" s="26">
        <v>0</v>
      </c>
      <c r="M3403" s="26">
        <v>0</v>
      </c>
      <c r="N3403" s="26">
        <v>0</v>
      </c>
      <c r="O3403" s="285"/>
      <c r="P3403" s="214">
        <v>2733</v>
      </c>
      <c r="Q3403" s="215">
        <v>90</v>
      </c>
      <c r="R3403" s="216">
        <v>4890</v>
      </c>
      <c r="S3403" s="217" t="s">
        <v>66</v>
      </c>
      <c r="T3403" s="218">
        <v>0</v>
      </c>
      <c r="U3403" s="218">
        <v>0</v>
      </c>
      <c r="V3403" s="219">
        <v>0</v>
      </c>
      <c r="W3403" s="219">
        <v>0</v>
      </c>
    </row>
    <row r="3404" spans="1:23" ht="15" customHeight="1">
      <c r="C3404" s="3">
        <v>90</v>
      </c>
      <c r="E3404" s="14"/>
      <c r="G3404" s="26"/>
      <c r="H3404" s="26"/>
      <c r="I3404" s="26"/>
      <c r="J3404" s="26"/>
      <c r="K3404" s="26"/>
      <c r="L3404" s="26"/>
      <c r="M3404" s="26"/>
      <c r="N3404" s="26"/>
      <c r="P3404" s="214">
        <v>2734</v>
      </c>
      <c r="Q3404" s="215">
        <v>90</v>
      </c>
      <c r="R3404" s="216" t="s">
        <v>2620</v>
      </c>
      <c r="S3404" s="217"/>
      <c r="T3404" s="218">
        <v>20750</v>
      </c>
      <c r="U3404" s="218">
        <v>1804.88</v>
      </c>
      <c r="V3404" s="219">
        <v>15005.46</v>
      </c>
      <c r="W3404" s="219">
        <v>72.319999999999993</v>
      </c>
    </row>
    <row r="3405" spans="1:23" s="27" customFormat="1" ht="15" customHeight="1" thickBot="1">
      <c r="A3405" s="2"/>
      <c r="B3405" s="2" t="s">
        <v>2317</v>
      </c>
      <c r="C3405" s="3">
        <v>90</v>
      </c>
      <c r="D3405" s="68" t="s">
        <v>2310</v>
      </c>
      <c r="E3405" s="68"/>
      <c r="F3405" s="320"/>
      <c r="G3405" s="69">
        <f t="shared" ref="G3405:N3405" si="399">SUM(G3400:G3404)</f>
        <v>67205</v>
      </c>
      <c r="H3405" s="69">
        <f t="shared" si="399"/>
        <v>51518</v>
      </c>
      <c r="I3405" s="69">
        <f t="shared" si="399"/>
        <v>80403</v>
      </c>
      <c r="J3405" s="69">
        <f t="shared" si="399"/>
        <v>26073</v>
      </c>
      <c r="K3405" s="69">
        <f t="shared" si="399"/>
        <v>20750</v>
      </c>
      <c r="L3405" s="69">
        <f t="shared" si="399"/>
        <v>13201</v>
      </c>
      <c r="M3405" s="69">
        <f t="shared" si="399"/>
        <v>19750</v>
      </c>
      <c r="N3405" s="69">
        <f t="shared" si="399"/>
        <v>19050</v>
      </c>
      <c r="O3405" s="281"/>
      <c r="P3405" s="226"/>
      <c r="Q3405" s="226"/>
      <c r="R3405" s="226"/>
      <c r="S3405" s="226"/>
      <c r="T3405" s="226"/>
      <c r="U3405" s="226"/>
      <c r="V3405" s="226"/>
      <c r="W3405" s="226"/>
    </row>
    <row r="3406" spans="1:23" s="46" customFormat="1" ht="15" customHeight="1" thickTop="1">
      <c r="A3406" s="5"/>
      <c r="B3406" s="5"/>
      <c r="C3406" s="3">
        <v>90</v>
      </c>
      <c r="D3406" s="47"/>
      <c r="E3406" s="47"/>
      <c r="F3406" s="191"/>
      <c r="G3406" s="56"/>
      <c r="H3406" s="56"/>
      <c r="I3406" s="56"/>
      <c r="J3406" s="56"/>
      <c r="K3406" s="56"/>
      <c r="L3406" s="56"/>
      <c r="M3406" s="56"/>
      <c r="N3406" s="56"/>
      <c r="O3406" s="289"/>
      <c r="P3406" s="221"/>
      <c r="Q3406" s="221"/>
      <c r="R3406" s="221"/>
      <c r="S3406" s="221"/>
      <c r="T3406" s="221"/>
      <c r="U3406" s="221"/>
      <c r="V3406" s="221"/>
      <c r="W3406" s="221"/>
    </row>
    <row r="3407" spans="1:23" ht="15" customHeight="1">
      <c r="C3407" s="3">
        <v>90</v>
      </c>
      <c r="D3407" s="47" t="s">
        <v>1975</v>
      </c>
      <c r="G3407" s="26"/>
      <c r="H3407" s="26"/>
      <c r="I3407" s="26"/>
      <c r="J3407" s="26"/>
      <c r="K3407" s="26"/>
      <c r="L3407" s="26"/>
      <c r="M3407" s="26"/>
      <c r="N3407" s="26"/>
      <c r="P3407" s="214">
        <v>2735</v>
      </c>
      <c r="Q3407" s="215">
        <v>90</v>
      </c>
      <c r="R3407" s="216" t="s">
        <v>245</v>
      </c>
      <c r="S3407" s="217"/>
      <c r="T3407" s="218"/>
      <c r="U3407" s="218"/>
      <c r="V3407" s="219"/>
      <c r="W3407" s="219"/>
    </row>
    <row r="3408" spans="1:23" ht="15" customHeight="1">
      <c r="C3408" s="3">
        <v>90</v>
      </c>
      <c r="G3408" s="26"/>
      <c r="H3408" s="26"/>
      <c r="I3408" s="26"/>
      <c r="J3408" s="26"/>
      <c r="K3408" s="26"/>
      <c r="L3408" s="26"/>
      <c r="M3408" s="26"/>
      <c r="N3408" s="26"/>
      <c r="P3408" s="214">
        <v>2736</v>
      </c>
      <c r="Q3408" s="215">
        <v>90</v>
      </c>
      <c r="R3408" s="216" t="s">
        <v>2628</v>
      </c>
      <c r="S3408" s="217"/>
      <c r="T3408" s="218"/>
      <c r="U3408" s="218"/>
      <c r="V3408" s="219"/>
      <c r="W3408" s="219"/>
    </row>
    <row r="3409" spans="1:23" ht="15" customHeight="1">
      <c r="C3409" s="3">
        <v>90</v>
      </c>
      <c r="D3409" s="15" t="s">
        <v>1933</v>
      </c>
      <c r="E3409" s="312" t="s">
        <v>232</v>
      </c>
      <c r="G3409" s="26">
        <v>-1063</v>
      </c>
      <c r="H3409" s="26">
        <v>68879</v>
      </c>
      <c r="I3409" s="26">
        <v>0</v>
      </c>
      <c r="J3409" s="26">
        <v>0</v>
      </c>
      <c r="K3409" s="26">
        <v>0</v>
      </c>
      <c r="L3409" s="26">
        <v>0</v>
      </c>
      <c r="M3409" s="26">
        <v>0</v>
      </c>
      <c r="N3409" s="26">
        <v>0</v>
      </c>
      <c r="O3409" s="285"/>
      <c r="P3409" s="214">
        <v>2737</v>
      </c>
      <c r="Q3409" s="215">
        <v>90</v>
      </c>
      <c r="R3409" s="216" t="s">
        <v>1933</v>
      </c>
      <c r="S3409" s="217" t="s">
        <v>232</v>
      </c>
      <c r="T3409" s="218">
        <v>0</v>
      </c>
      <c r="U3409" s="218">
        <v>0</v>
      </c>
      <c r="V3409" s="219">
        <v>0</v>
      </c>
      <c r="W3409" s="219">
        <v>0</v>
      </c>
    </row>
    <row r="3410" spans="1:23" ht="15" customHeight="1">
      <c r="C3410" s="3">
        <v>90</v>
      </c>
      <c r="D3410" s="15" t="s">
        <v>1934</v>
      </c>
      <c r="E3410" s="312" t="s">
        <v>1935</v>
      </c>
      <c r="G3410" s="26">
        <v>0</v>
      </c>
      <c r="H3410" s="26">
        <v>0</v>
      </c>
      <c r="I3410" s="26">
        <v>0</v>
      </c>
      <c r="J3410" s="26">
        <v>0</v>
      </c>
      <c r="K3410" s="26">
        <v>0</v>
      </c>
      <c r="L3410" s="26">
        <v>0</v>
      </c>
      <c r="M3410" s="26">
        <v>0</v>
      </c>
      <c r="N3410" s="26">
        <v>0</v>
      </c>
      <c r="O3410" s="285"/>
      <c r="P3410" s="214">
        <v>2738</v>
      </c>
      <c r="Q3410" s="215">
        <v>90</v>
      </c>
      <c r="R3410" s="216" t="s">
        <v>1934</v>
      </c>
      <c r="S3410" s="217" t="s">
        <v>1935</v>
      </c>
      <c r="T3410" s="218">
        <v>0</v>
      </c>
      <c r="U3410" s="218">
        <v>0</v>
      </c>
      <c r="V3410" s="219">
        <v>0</v>
      </c>
      <c r="W3410" s="219">
        <v>0</v>
      </c>
    </row>
    <row r="3411" spans="1:23" ht="15" customHeight="1">
      <c r="C3411" s="3">
        <v>90</v>
      </c>
      <c r="D3411" s="15" t="s">
        <v>1936</v>
      </c>
      <c r="E3411" s="312" t="s">
        <v>1007</v>
      </c>
      <c r="G3411" s="26">
        <v>0</v>
      </c>
      <c r="H3411" s="26">
        <v>0</v>
      </c>
      <c r="I3411" s="26">
        <v>0</v>
      </c>
      <c r="J3411" s="26">
        <v>0</v>
      </c>
      <c r="K3411" s="26">
        <v>0</v>
      </c>
      <c r="L3411" s="26">
        <v>220834</v>
      </c>
      <c r="M3411" s="26">
        <v>229588</v>
      </c>
      <c r="N3411" s="26">
        <v>0</v>
      </c>
      <c r="O3411" s="285"/>
      <c r="P3411" s="214">
        <v>2739</v>
      </c>
      <c r="Q3411" s="215">
        <v>90</v>
      </c>
      <c r="R3411" s="216" t="s">
        <v>1936</v>
      </c>
      <c r="S3411" s="217" t="s">
        <v>1007</v>
      </c>
      <c r="T3411" s="218">
        <v>0</v>
      </c>
      <c r="U3411" s="218">
        <v>0</v>
      </c>
      <c r="V3411" s="219">
        <v>220834.39</v>
      </c>
      <c r="W3411" s="219">
        <v>0</v>
      </c>
    </row>
    <row r="3412" spans="1:23" ht="15" customHeight="1">
      <c r="C3412" s="3">
        <v>90</v>
      </c>
      <c r="G3412" s="26"/>
      <c r="H3412" s="26"/>
      <c r="I3412" s="26"/>
      <c r="J3412" s="26"/>
      <c r="K3412" s="26"/>
      <c r="L3412" s="26"/>
      <c r="M3412" s="26"/>
      <c r="N3412" s="26"/>
      <c r="P3412" s="214">
        <v>2740</v>
      </c>
      <c r="Q3412" s="215">
        <v>90</v>
      </c>
      <c r="R3412" s="216" t="s">
        <v>2623</v>
      </c>
      <c r="S3412" s="217"/>
      <c r="T3412" s="218"/>
      <c r="U3412" s="218"/>
      <c r="V3412" s="219"/>
      <c r="W3412" s="219"/>
    </row>
    <row r="3413" spans="1:23" s="24" customFormat="1" ht="15" customHeight="1">
      <c r="A3413" s="2" t="s">
        <v>245</v>
      </c>
      <c r="B3413" s="2" t="s">
        <v>2317</v>
      </c>
      <c r="C3413" s="3">
        <v>90</v>
      </c>
      <c r="D3413" s="323" t="s">
        <v>1971</v>
      </c>
      <c r="E3413" s="323"/>
      <c r="F3413" s="324"/>
      <c r="G3413" s="325">
        <f>SUM(G3407:G3412)</f>
        <v>-1063</v>
      </c>
      <c r="H3413" s="325">
        <f t="shared" ref="H3413:N3413" si="400">SUM(H3407:H3412)</f>
        <v>68879</v>
      </c>
      <c r="I3413" s="325">
        <f t="shared" si="400"/>
        <v>0</v>
      </c>
      <c r="J3413" s="325">
        <f t="shared" si="400"/>
        <v>0</v>
      </c>
      <c r="K3413" s="325">
        <f t="shared" si="400"/>
        <v>0</v>
      </c>
      <c r="L3413" s="325">
        <f t="shared" si="400"/>
        <v>220834</v>
      </c>
      <c r="M3413" s="325">
        <f t="shared" si="400"/>
        <v>229588</v>
      </c>
      <c r="N3413" s="325">
        <f t="shared" si="400"/>
        <v>0</v>
      </c>
      <c r="O3413" s="292"/>
      <c r="P3413" s="214">
        <v>2741</v>
      </c>
      <c r="Q3413" s="215">
        <v>90</v>
      </c>
      <c r="R3413" s="216" t="s">
        <v>245</v>
      </c>
      <c r="S3413" s="217"/>
      <c r="T3413" s="218">
        <v>0</v>
      </c>
      <c r="U3413" s="218">
        <v>0</v>
      </c>
      <c r="V3413" s="219">
        <v>220834.39</v>
      </c>
      <c r="W3413" s="219">
        <v>0</v>
      </c>
    </row>
    <row r="3414" spans="1:23" s="46" customFormat="1" ht="15" customHeight="1">
      <c r="A3414" s="5"/>
      <c r="B3414" s="5"/>
      <c r="C3414" s="3">
        <v>90</v>
      </c>
      <c r="D3414" s="47"/>
      <c r="E3414" s="47"/>
      <c r="F3414" s="191"/>
      <c r="G3414" s="48"/>
      <c r="H3414" s="48"/>
      <c r="I3414" s="48"/>
      <c r="J3414" s="48"/>
      <c r="K3414" s="48"/>
      <c r="L3414" s="48"/>
      <c r="M3414" s="48"/>
      <c r="N3414" s="48"/>
      <c r="O3414" s="289"/>
      <c r="P3414" s="221"/>
      <c r="Q3414" s="221"/>
      <c r="R3414" s="221"/>
      <c r="S3414" s="221"/>
      <c r="T3414" s="221"/>
      <c r="U3414" s="221"/>
      <c r="V3414" s="221"/>
      <c r="W3414" s="221"/>
    </row>
    <row r="3415" spans="1:23" ht="15" customHeight="1">
      <c r="C3415" s="3">
        <v>90</v>
      </c>
      <c r="D3415" s="15" t="s">
        <v>1285</v>
      </c>
      <c r="G3415" s="26"/>
      <c r="H3415" s="26"/>
      <c r="I3415" s="26"/>
      <c r="J3415" s="26"/>
      <c r="K3415" s="26"/>
      <c r="L3415" s="26"/>
      <c r="M3415" s="26"/>
      <c r="N3415" s="26"/>
      <c r="P3415" s="214">
        <v>2742</v>
      </c>
      <c r="Q3415" s="215">
        <v>90</v>
      </c>
      <c r="R3415" s="216" t="s">
        <v>2649</v>
      </c>
      <c r="S3415" s="217"/>
      <c r="T3415" s="218"/>
      <c r="U3415" s="218"/>
      <c r="V3415" s="219"/>
      <c r="W3415" s="219"/>
    </row>
    <row r="3416" spans="1:23" ht="15" customHeight="1">
      <c r="C3416" s="3">
        <v>90</v>
      </c>
      <c r="G3416" s="26"/>
      <c r="H3416" s="26"/>
      <c r="I3416" s="26"/>
      <c r="J3416" s="26"/>
      <c r="K3416" s="26"/>
      <c r="L3416" s="26"/>
      <c r="M3416" s="26"/>
      <c r="N3416" s="26"/>
      <c r="P3416" s="214">
        <v>2743</v>
      </c>
      <c r="Q3416" s="215">
        <v>90</v>
      </c>
      <c r="R3416" s="216" t="s">
        <v>2634</v>
      </c>
      <c r="S3416" s="217"/>
      <c r="T3416" s="218"/>
      <c r="U3416" s="218"/>
      <c r="V3416" s="219"/>
      <c r="W3416" s="219"/>
    </row>
    <row r="3417" spans="1:23" ht="15" customHeight="1">
      <c r="C3417" s="3">
        <v>90</v>
      </c>
      <c r="D3417" s="15" t="s">
        <v>1937</v>
      </c>
      <c r="E3417" s="312" t="s">
        <v>1285</v>
      </c>
      <c r="G3417" s="26">
        <v>0</v>
      </c>
      <c r="H3417" s="26">
        <v>0</v>
      </c>
      <c r="I3417" s="26">
        <v>0</v>
      </c>
      <c r="J3417" s="26">
        <v>0</v>
      </c>
      <c r="K3417" s="26">
        <v>0</v>
      </c>
      <c r="L3417" s="26">
        <v>0</v>
      </c>
      <c r="M3417" s="26">
        <v>0</v>
      </c>
      <c r="N3417" s="26">
        <v>0</v>
      </c>
      <c r="O3417" s="285"/>
      <c r="P3417" s="214">
        <v>2744</v>
      </c>
      <c r="Q3417" s="215">
        <v>90</v>
      </c>
      <c r="R3417" s="216" t="s">
        <v>1937</v>
      </c>
      <c r="S3417" s="217" t="s">
        <v>1285</v>
      </c>
      <c r="T3417" s="218">
        <v>0</v>
      </c>
      <c r="U3417" s="218">
        <v>0</v>
      </c>
      <c r="V3417" s="219">
        <v>0</v>
      </c>
      <c r="W3417" s="219">
        <v>0</v>
      </c>
    </row>
    <row r="3418" spans="1:23" ht="15" customHeight="1">
      <c r="C3418" s="3">
        <v>90</v>
      </c>
      <c r="G3418" s="26"/>
      <c r="H3418" s="26"/>
      <c r="I3418" s="26"/>
      <c r="J3418" s="26"/>
      <c r="K3418" s="26"/>
      <c r="L3418" s="26"/>
      <c r="M3418" s="26"/>
      <c r="N3418" s="26"/>
      <c r="P3418" s="214">
        <v>2745</v>
      </c>
      <c r="Q3418" s="215">
        <v>90</v>
      </c>
      <c r="R3418" s="216" t="s">
        <v>2623</v>
      </c>
      <c r="S3418" s="217"/>
      <c r="T3418" s="218"/>
      <c r="U3418" s="218"/>
      <c r="V3418" s="219"/>
      <c r="W3418" s="219"/>
    </row>
    <row r="3419" spans="1:23" s="66" customFormat="1" ht="15" customHeight="1">
      <c r="A3419" s="66" t="s">
        <v>2411</v>
      </c>
      <c r="B3419" s="66" t="s">
        <v>2317</v>
      </c>
      <c r="C3419" s="3">
        <v>90</v>
      </c>
      <c r="D3419" s="337" t="s">
        <v>1285</v>
      </c>
      <c r="E3419" s="337"/>
      <c r="F3419" s="338"/>
      <c r="G3419" s="322">
        <f>SUM(G3415:G3418)</f>
        <v>0</v>
      </c>
      <c r="H3419" s="322">
        <f t="shared" ref="H3419:N3419" si="401">SUM(H3415:H3418)</f>
        <v>0</v>
      </c>
      <c r="I3419" s="322">
        <f t="shared" si="401"/>
        <v>0</v>
      </c>
      <c r="J3419" s="322">
        <f t="shared" si="401"/>
        <v>0</v>
      </c>
      <c r="K3419" s="322">
        <f t="shared" si="401"/>
        <v>0</v>
      </c>
      <c r="L3419" s="322">
        <f t="shared" si="401"/>
        <v>0</v>
      </c>
      <c r="M3419" s="322">
        <f t="shared" si="401"/>
        <v>0</v>
      </c>
      <c r="N3419" s="322">
        <f t="shared" si="401"/>
        <v>0</v>
      </c>
      <c r="O3419" s="298"/>
      <c r="P3419" s="214">
        <v>2746</v>
      </c>
      <c r="Q3419" s="215">
        <v>90</v>
      </c>
      <c r="R3419" s="216" t="s">
        <v>2649</v>
      </c>
      <c r="S3419" s="217"/>
      <c r="T3419" s="218">
        <v>0</v>
      </c>
      <c r="U3419" s="218">
        <v>0</v>
      </c>
      <c r="V3419" s="219">
        <v>0</v>
      </c>
      <c r="W3419" s="219">
        <v>0</v>
      </c>
    </row>
    <row r="3420" spans="1:23" ht="15" customHeight="1">
      <c r="C3420" s="3">
        <v>90</v>
      </c>
      <c r="G3420" s="26"/>
      <c r="H3420" s="26"/>
      <c r="I3420" s="26"/>
      <c r="J3420" s="26"/>
      <c r="K3420" s="26"/>
      <c r="L3420" s="26"/>
      <c r="M3420" s="26"/>
      <c r="N3420" s="26"/>
      <c r="P3420" s="214">
        <v>2747</v>
      </c>
      <c r="Q3420" s="215">
        <v>90</v>
      </c>
      <c r="R3420" s="216" t="s">
        <v>2623</v>
      </c>
      <c r="S3420" s="217"/>
      <c r="T3420" s="218"/>
      <c r="U3420" s="218"/>
      <c r="V3420" s="219"/>
      <c r="W3420" s="219"/>
    </row>
    <row r="3421" spans="1:23" ht="15" customHeight="1">
      <c r="B3421" s="2" t="s">
        <v>2317</v>
      </c>
      <c r="C3421" s="3">
        <v>90</v>
      </c>
      <c r="D3421" s="47" t="s">
        <v>1667</v>
      </c>
      <c r="G3421" s="26">
        <f>+G3419+G3413</f>
        <v>-1063</v>
      </c>
      <c r="H3421" s="26">
        <f t="shared" ref="H3421:N3421" si="402">+H3419+H3413</f>
        <v>68879</v>
      </c>
      <c r="I3421" s="26">
        <f t="shared" si="402"/>
        <v>0</v>
      </c>
      <c r="J3421" s="26">
        <f t="shared" si="402"/>
        <v>0</v>
      </c>
      <c r="K3421" s="26">
        <f t="shared" si="402"/>
        <v>0</v>
      </c>
      <c r="L3421" s="26">
        <f t="shared" si="402"/>
        <v>220834</v>
      </c>
      <c r="M3421" s="26">
        <f t="shared" si="402"/>
        <v>229588</v>
      </c>
      <c r="N3421" s="26">
        <f t="shared" si="402"/>
        <v>0</v>
      </c>
      <c r="P3421" s="214">
        <v>2748</v>
      </c>
      <c r="Q3421" s="215">
        <v>90</v>
      </c>
      <c r="R3421" s="216" t="s">
        <v>1667</v>
      </c>
      <c r="S3421" s="217"/>
      <c r="T3421" s="218">
        <v>0</v>
      </c>
      <c r="U3421" s="218">
        <v>0</v>
      </c>
      <c r="V3421" s="219">
        <v>220834.39</v>
      </c>
      <c r="W3421" s="219">
        <v>0</v>
      </c>
    </row>
    <row r="3422" spans="1:23" ht="15" customHeight="1">
      <c r="C3422" s="3">
        <v>90</v>
      </c>
      <c r="D3422" s="47"/>
      <c r="G3422" s="26"/>
      <c r="H3422" s="26"/>
      <c r="I3422" s="26"/>
      <c r="J3422" s="26"/>
      <c r="K3422" s="26"/>
      <c r="L3422" s="26"/>
      <c r="M3422" s="26"/>
      <c r="N3422" s="26"/>
      <c r="P3422" s="222"/>
      <c r="Q3422" s="222"/>
      <c r="R3422" s="222"/>
      <c r="S3422" s="223"/>
      <c r="T3422" s="223"/>
      <c r="U3422" s="223"/>
      <c r="V3422" s="224"/>
      <c r="W3422" s="224"/>
    </row>
    <row r="3423" spans="1:23" s="31" customFormat="1" ht="15" customHeight="1">
      <c r="A3423" s="2"/>
      <c r="B3423" s="2" t="s">
        <v>2317</v>
      </c>
      <c r="C3423" s="3">
        <v>90</v>
      </c>
      <c r="D3423" s="54" t="s">
        <v>2287</v>
      </c>
      <c r="E3423" s="54"/>
      <c r="F3423" s="192"/>
      <c r="G3423" s="339">
        <f>SUM(G3421:G3422)</f>
        <v>-1063</v>
      </c>
      <c r="H3423" s="339">
        <f t="shared" ref="H3423:N3423" si="403">SUM(H3421:H3422)</f>
        <v>68879</v>
      </c>
      <c r="I3423" s="339">
        <f t="shared" si="403"/>
        <v>0</v>
      </c>
      <c r="J3423" s="339">
        <f t="shared" si="403"/>
        <v>0</v>
      </c>
      <c r="K3423" s="339">
        <f t="shared" si="403"/>
        <v>0</v>
      </c>
      <c r="L3423" s="339">
        <f t="shared" si="403"/>
        <v>220834</v>
      </c>
      <c r="M3423" s="339">
        <f t="shared" si="403"/>
        <v>229588</v>
      </c>
      <c r="N3423" s="339">
        <f t="shared" si="403"/>
        <v>0</v>
      </c>
      <c r="O3423" s="305"/>
      <c r="P3423" s="214">
        <v>2749</v>
      </c>
      <c r="Q3423" s="215">
        <v>90</v>
      </c>
      <c r="R3423" s="216" t="s">
        <v>2618</v>
      </c>
      <c r="S3423" s="217"/>
      <c r="T3423" s="218">
        <v>0</v>
      </c>
      <c r="U3423" s="218">
        <v>0</v>
      </c>
      <c r="V3423" s="219">
        <v>220834.39</v>
      </c>
      <c r="W3423" s="219">
        <v>0</v>
      </c>
    </row>
    <row r="3424" spans="1:23" s="46" customFormat="1" ht="15" customHeight="1">
      <c r="A3424" s="5"/>
      <c r="B3424" s="5"/>
      <c r="C3424" s="3">
        <v>90</v>
      </c>
      <c r="D3424" s="47"/>
      <c r="E3424" s="47"/>
      <c r="F3424" s="191"/>
      <c r="G3424" s="56"/>
      <c r="H3424" s="56"/>
      <c r="I3424" s="56"/>
      <c r="J3424" s="56"/>
      <c r="K3424" s="56"/>
      <c r="L3424" s="56"/>
      <c r="M3424" s="56"/>
      <c r="N3424" s="56"/>
      <c r="O3424" s="289"/>
      <c r="P3424" s="221"/>
      <c r="Q3424" s="221"/>
      <c r="R3424" s="221"/>
      <c r="S3424" s="221"/>
      <c r="T3424" s="221"/>
      <c r="U3424" s="221"/>
      <c r="V3424" s="221"/>
      <c r="W3424" s="221"/>
    </row>
    <row r="3425" spans="1:23" s="33" customFormat="1" ht="15" customHeight="1" thickBot="1">
      <c r="A3425" s="2"/>
      <c r="B3425" s="2" t="s">
        <v>2317</v>
      </c>
      <c r="C3425" s="3">
        <v>90</v>
      </c>
      <c r="D3425" s="329" t="s">
        <v>2262</v>
      </c>
      <c r="E3425" s="329"/>
      <c r="F3425" s="330"/>
      <c r="G3425" s="336">
        <f>+G3405-G3423</f>
        <v>68268</v>
      </c>
      <c r="H3425" s="336">
        <f t="shared" ref="H3425:N3425" si="404">+H3405-H3423</f>
        <v>-17361</v>
      </c>
      <c r="I3425" s="336">
        <f t="shared" si="404"/>
        <v>80403</v>
      </c>
      <c r="J3425" s="336">
        <f t="shared" si="404"/>
        <v>26073</v>
      </c>
      <c r="K3425" s="336">
        <f t="shared" si="404"/>
        <v>20750</v>
      </c>
      <c r="L3425" s="336">
        <f t="shared" si="404"/>
        <v>-207633</v>
      </c>
      <c r="M3425" s="336">
        <f t="shared" si="404"/>
        <v>-209838</v>
      </c>
      <c r="N3425" s="336">
        <f t="shared" si="404"/>
        <v>19050</v>
      </c>
      <c r="O3425" s="301"/>
      <c r="P3425" s="214">
        <v>2750</v>
      </c>
      <c r="Q3425" s="215">
        <v>90</v>
      </c>
      <c r="R3425" s="216" t="s">
        <v>2619</v>
      </c>
      <c r="S3425" s="217"/>
      <c r="T3425" s="218">
        <v>20750</v>
      </c>
      <c r="U3425" s="218">
        <v>1804.88</v>
      </c>
      <c r="V3425" s="219">
        <v>-205828.93</v>
      </c>
      <c r="W3425" s="219">
        <v>0</v>
      </c>
    </row>
    <row r="3426" spans="1:23" s="46" customFormat="1" ht="15" customHeight="1" thickTop="1">
      <c r="A3426" s="5"/>
      <c r="B3426" s="5"/>
      <c r="C3426" s="3">
        <v>90</v>
      </c>
      <c r="D3426" s="47"/>
      <c r="E3426" s="47"/>
      <c r="F3426" s="191"/>
      <c r="G3426" s="56"/>
      <c r="H3426" s="56"/>
      <c r="I3426" s="56"/>
      <c r="J3426" s="56"/>
      <c r="K3426" s="56"/>
      <c r="L3426" s="56"/>
      <c r="M3426" s="56"/>
      <c r="N3426" s="56"/>
      <c r="O3426" s="289"/>
      <c r="P3426" s="221"/>
      <c r="Q3426" s="221"/>
      <c r="R3426" s="221"/>
      <c r="S3426" s="221"/>
      <c r="T3426" s="221"/>
      <c r="U3426" s="221"/>
      <c r="V3426" s="221"/>
      <c r="W3426" s="221"/>
    </row>
    <row r="3427" spans="1:23" ht="15" customHeight="1">
      <c r="C3427" s="3">
        <v>90</v>
      </c>
      <c r="D3427" s="54" t="s">
        <v>2875</v>
      </c>
      <c r="E3427" s="54"/>
      <c r="F3427" s="192"/>
      <c r="G3427" s="55"/>
      <c r="H3427" s="55"/>
      <c r="I3427" s="55"/>
      <c r="J3427" s="55"/>
      <c r="K3427" s="55">
        <f>+K3399</f>
        <v>258122.13</v>
      </c>
      <c r="L3427" s="55"/>
      <c r="M3427" s="55">
        <f>+M3399</f>
        <v>27534.130000000005</v>
      </c>
      <c r="N3427" s="55">
        <f>+N3399</f>
        <v>46584.130000000005</v>
      </c>
      <c r="O3427" s="253"/>
      <c r="P3427" s="203"/>
      <c r="Q3427" s="204"/>
      <c r="R3427" s="205"/>
      <c r="S3427" s="206"/>
      <c r="T3427" s="207"/>
      <c r="U3427" s="207"/>
      <c r="V3427" s="208"/>
      <c r="W3427" s="212"/>
    </row>
    <row r="3428" spans="1:23" s="46" customFormat="1" ht="15" customHeight="1">
      <c r="A3428" s="195"/>
      <c r="B3428" s="195"/>
      <c r="C3428" s="3">
        <v>90</v>
      </c>
      <c r="D3428" s="47"/>
      <c r="E3428" s="47"/>
      <c r="F3428" s="191"/>
      <c r="G3428" s="56"/>
      <c r="H3428" s="56"/>
      <c r="I3428" s="56"/>
      <c r="J3428" s="56"/>
      <c r="K3428" s="56"/>
      <c r="L3428" s="56"/>
      <c r="M3428" s="56"/>
      <c r="N3428" s="56"/>
      <c r="O3428" s="289"/>
      <c r="P3428" s="221"/>
      <c r="Q3428" s="221"/>
      <c r="R3428" s="221"/>
      <c r="S3428" s="221"/>
      <c r="T3428" s="221"/>
      <c r="U3428" s="221"/>
      <c r="V3428" s="221"/>
      <c r="W3428" s="221"/>
    </row>
    <row r="3429" spans="1:23" s="35" customFormat="1" ht="15" customHeight="1">
      <c r="A3429" s="2"/>
      <c r="B3429" s="2"/>
      <c r="C3429" s="3">
        <v>90</v>
      </c>
      <c r="D3429" s="47" t="s">
        <v>1976</v>
      </c>
      <c r="E3429" s="47"/>
      <c r="F3429" s="191"/>
      <c r="G3429" s="48"/>
      <c r="H3429" s="48"/>
      <c r="I3429" s="48"/>
      <c r="J3429" s="48"/>
      <c r="K3429" s="48"/>
      <c r="L3429" s="48"/>
      <c r="M3429" s="48"/>
      <c r="N3429" s="48"/>
      <c r="O3429" s="276"/>
      <c r="P3429" s="214">
        <v>2751</v>
      </c>
      <c r="Q3429" s="215">
        <v>90</v>
      </c>
      <c r="R3429" s="216" t="s">
        <v>2630</v>
      </c>
      <c r="S3429" s="217"/>
      <c r="T3429" s="218"/>
      <c r="U3429" s="218"/>
      <c r="V3429" s="219"/>
      <c r="W3429" s="219"/>
    </row>
    <row r="3430" spans="1:23" s="35" customFormat="1" ht="15" customHeight="1">
      <c r="A3430" s="2"/>
      <c r="B3430" s="2"/>
      <c r="C3430" s="3"/>
      <c r="D3430" s="47"/>
      <c r="E3430" s="47"/>
      <c r="F3430" s="191"/>
      <c r="G3430" s="48"/>
      <c r="H3430" s="48"/>
      <c r="I3430" s="48"/>
      <c r="J3430" s="48"/>
      <c r="K3430" s="48"/>
      <c r="L3430" s="48"/>
      <c r="M3430" s="48"/>
      <c r="N3430" s="48"/>
      <c r="O3430" s="276"/>
      <c r="P3430" s="36"/>
      <c r="Q3430" s="36"/>
    </row>
    <row r="3431" spans="1:23" s="35" customFormat="1" ht="15" customHeight="1">
      <c r="A3431" s="2"/>
      <c r="B3431" s="2"/>
      <c r="C3431" s="3"/>
      <c r="D3431" s="47"/>
      <c r="E3431" s="47"/>
      <c r="F3431" s="191"/>
      <c r="G3431" s="48"/>
      <c r="H3431" s="48"/>
      <c r="I3431" s="48"/>
      <c r="J3431" s="48"/>
      <c r="K3431" s="48"/>
      <c r="L3431" s="48"/>
      <c r="M3431" s="48"/>
      <c r="N3431" s="48"/>
      <c r="O3431" s="276"/>
      <c r="P3431" s="36"/>
      <c r="Q3431" s="36"/>
    </row>
    <row r="3432" spans="1:23" s="35" customFormat="1" ht="15" customHeight="1">
      <c r="A3432" s="2"/>
      <c r="B3432" s="2"/>
      <c r="C3432" s="3"/>
      <c r="D3432" s="47"/>
      <c r="E3432" s="47"/>
      <c r="F3432" s="191"/>
      <c r="G3432" s="48"/>
      <c r="H3432" s="48"/>
      <c r="I3432" s="48"/>
      <c r="J3432" s="48"/>
      <c r="K3432" s="48"/>
      <c r="L3432" s="48"/>
      <c r="M3432" s="48"/>
      <c r="N3432" s="48"/>
      <c r="O3432" s="276"/>
      <c r="P3432" s="36"/>
      <c r="Q3432" s="36"/>
    </row>
    <row r="3433" spans="1:23" s="35" customFormat="1" ht="15" customHeight="1">
      <c r="A3433" s="2"/>
      <c r="B3433" s="2"/>
      <c r="C3433" s="3">
        <v>91</v>
      </c>
      <c r="D3433" s="47" t="s">
        <v>2400</v>
      </c>
      <c r="E3433" s="47"/>
      <c r="F3433" s="191"/>
      <c r="G3433" s="48"/>
      <c r="H3433" s="48"/>
      <c r="I3433" s="48"/>
      <c r="J3433" s="48"/>
      <c r="K3433" s="48"/>
      <c r="L3433" s="48"/>
      <c r="M3433" s="48"/>
      <c r="N3433" s="48"/>
      <c r="O3433" s="276"/>
      <c r="P3433" s="36"/>
      <c r="Q3433" s="36"/>
    </row>
    <row r="3434" spans="1:23" s="35" customFormat="1" ht="15" customHeight="1">
      <c r="A3434" s="2"/>
      <c r="B3434" s="2"/>
      <c r="C3434" s="3">
        <v>91</v>
      </c>
      <c r="D3434" s="47"/>
      <c r="E3434" s="47"/>
      <c r="F3434" s="191"/>
      <c r="G3434" s="48"/>
      <c r="H3434" s="48"/>
      <c r="I3434" s="48"/>
      <c r="J3434" s="48"/>
      <c r="K3434" s="48"/>
      <c r="L3434" s="48"/>
      <c r="M3434" s="48"/>
      <c r="N3434" s="48"/>
      <c r="O3434" s="276"/>
      <c r="P3434" s="36"/>
      <c r="Q3434" s="36"/>
    </row>
    <row r="3435" spans="1:23" ht="15" customHeight="1">
      <c r="C3435" s="3">
        <v>91</v>
      </c>
      <c r="D3435" s="54" t="s">
        <v>2874</v>
      </c>
      <c r="E3435" s="54"/>
      <c r="F3435" s="192"/>
      <c r="G3435" s="55"/>
      <c r="H3435" s="55"/>
      <c r="I3435" s="55"/>
      <c r="J3435" s="55"/>
      <c r="K3435" s="55"/>
      <c r="L3435" s="55"/>
      <c r="M3435" s="55"/>
      <c r="N3435" s="55">
        <f>+M3451</f>
        <v>0</v>
      </c>
      <c r="O3435" s="278"/>
      <c r="P3435" s="203"/>
      <c r="Q3435" s="204"/>
      <c r="R3435" s="205"/>
      <c r="S3435" s="206"/>
      <c r="T3435" s="207"/>
      <c r="U3435" s="207"/>
      <c r="V3435" s="208"/>
      <c r="W3435" s="212"/>
    </row>
    <row r="3436" spans="1:23" s="35" customFormat="1" ht="15" customHeight="1">
      <c r="A3436" s="2"/>
      <c r="B3436" s="2"/>
      <c r="C3436" s="3">
        <v>91</v>
      </c>
      <c r="D3436" s="47"/>
      <c r="E3436" s="47"/>
      <c r="F3436" s="191"/>
      <c r="G3436" s="48"/>
      <c r="H3436" s="48"/>
      <c r="I3436" s="48"/>
      <c r="J3436" s="48"/>
      <c r="K3436" s="48"/>
      <c r="L3436" s="48"/>
      <c r="M3436" s="48"/>
      <c r="N3436" s="48"/>
      <c r="O3436" s="276"/>
      <c r="P3436" s="36"/>
      <c r="Q3436" s="36"/>
    </row>
    <row r="3437" spans="1:23" ht="15" customHeight="1">
      <c r="C3437" s="3">
        <v>91</v>
      </c>
      <c r="D3437" s="47" t="s">
        <v>2237</v>
      </c>
      <c r="G3437" s="26"/>
      <c r="H3437" s="26"/>
      <c r="I3437" s="26"/>
      <c r="J3437" s="26"/>
      <c r="K3437" s="26"/>
      <c r="L3437" s="26"/>
      <c r="M3437" s="26"/>
      <c r="N3437" s="26"/>
      <c r="P3437" s="214">
        <v>2752</v>
      </c>
      <c r="Q3437" s="215">
        <v>91</v>
      </c>
      <c r="R3437" s="216" t="s">
        <v>2610</v>
      </c>
      <c r="S3437" s="217"/>
      <c r="T3437" s="218"/>
      <c r="U3437" s="218"/>
      <c r="V3437" s="219"/>
      <c r="W3437" s="219"/>
    </row>
    <row r="3438" spans="1:23" ht="15" customHeight="1">
      <c r="C3438" s="3">
        <v>91</v>
      </c>
      <c r="G3438" s="26"/>
      <c r="H3438" s="26"/>
      <c r="I3438" s="26"/>
      <c r="J3438" s="26"/>
      <c r="K3438" s="26"/>
      <c r="L3438" s="26"/>
      <c r="M3438" s="26"/>
      <c r="N3438" s="26"/>
      <c r="P3438" s="214">
        <v>2753</v>
      </c>
      <c r="Q3438" s="215">
        <v>91</v>
      </c>
      <c r="R3438" s="216" t="s">
        <v>2611</v>
      </c>
      <c r="S3438" s="217"/>
      <c r="T3438" s="218"/>
      <c r="U3438" s="218"/>
      <c r="V3438" s="219"/>
      <c r="W3438" s="219"/>
    </row>
    <row r="3439" spans="1:23" s="21" customFormat="1" ht="15" customHeight="1">
      <c r="A3439" s="2"/>
      <c r="B3439" s="2" t="s">
        <v>2318</v>
      </c>
      <c r="C3439" s="3">
        <v>91</v>
      </c>
      <c r="D3439" s="54" t="s">
        <v>2213</v>
      </c>
      <c r="E3439" s="54"/>
      <c r="F3439" s="192"/>
      <c r="G3439" s="55">
        <f>+G3441</f>
        <v>0</v>
      </c>
      <c r="H3439" s="55">
        <f t="shared" ref="H3439:N3439" si="405">+H3441</f>
        <v>0</v>
      </c>
      <c r="I3439" s="55">
        <f t="shared" si="405"/>
        <v>0</v>
      </c>
      <c r="J3439" s="55">
        <f t="shared" si="405"/>
        <v>0</v>
      </c>
      <c r="K3439" s="55">
        <f t="shared" si="405"/>
        <v>0</v>
      </c>
      <c r="L3439" s="55">
        <f t="shared" si="405"/>
        <v>0</v>
      </c>
      <c r="M3439" s="55">
        <f t="shared" si="405"/>
        <v>0</v>
      </c>
      <c r="N3439" s="55">
        <f t="shared" si="405"/>
        <v>0</v>
      </c>
      <c r="O3439" s="279"/>
      <c r="P3439" s="214">
        <v>2754</v>
      </c>
      <c r="Q3439" s="215">
        <v>91</v>
      </c>
      <c r="R3439" s="216" t="s">
        <v>2612</v>
      </c>
      <c r="S3439" s="217"/>
      <c r="T3439" s="218">
        <v>0</v>
      </c>
      <c r="U3439" s="218">
        <v>0</v>
      </c>
      <c r="V3439" s="219">
        <v>0</v>
      </c>
      <c r="W3439" s="219">
        <v>0</v>
      </c>
    </row>
    <row r="3440" spans="1:23" s="57" customFormat="1" ht="15" customHeight="1">
      <c r="A3440" s="5"/>
      <c r="B3440" s="5"/>
      <c r="C3440" s="3">
        <v>91</v>
      </c>
      <c r="D3440" s="54"/>
      <c r="E3440" s="54"/>
      <c r="F3440" s="192"/>
      <c r="G3440" s="55"/>
      <c r="H3440" s="55"/>
      <c r="I3440" s="55"/>
      <c r="J3440" s="55"/>
      <c r="K3440" s="55"/>
      <c r="L3440" s="55"/>
      <c r="M3440" s="55"/>
      <c r="N3440" s="55"/>
      <c r="O3440" s="302"/>
      <c r="P3440" s="220"/>
      <c r="Q3440" s="220"/>
      <c r="R3440" s="220"/>
      <c r="S3440" s="220"/>
      <c r="T3440" s="220"/>
      <c r="U3440" s="220"/>
      <c r="V3440" s="220"/>
      <c r="W3440" s="220"/>
    </row>
    <row r="3441" spans="1:23" s="27" customFormat="1" ht="15" customHeight="1" thickBot="1">
      <c r="A3441" s="2"/>
      <c r="B3441" s="2" t="s">
        <v>2318</v>
      </c>
      <c r="C3441" s="3">
        <v>91</v>
      </c>
      <c r="D3441" s="68" t="str">
        <f>+D3456</f>
        <v>*** TOTAL FUND 91 REVENUES ***</v>
      </c>
      <c r="E3441" s="68"/>
      <c r="F3441" s="68">
        <f>+F3456</f>
        <v>0</v>
      </c>
      <c r="G3441" s="69">
        <f>+G3456</f>
        <v>0</v>
      </c>
      <c r="H3441" s="69">
        <f t="shared" ref="H3441:N3441" si="406">+H3456</f>
        <v>0</v>
      </c>
      <c r="I3441" s="69">
        <f t="shared" si="406"/>
        <v>0</v>
      </c>
      <c r="J3441" s="69">
        <f t="shared" si="406"/>
        <v>0</v>
      </c>
      <c r="K3441" s="69">
        <f t="shared" si="406"/>
        <v>0</v>
      </c>
      <c r="L3441" s="69">
        <f t="shared" si="406"/>
        <v>0</v>
      </c>
      <c r="M3441" s="69">
        <f t="shared" si="406"/>
        <v>0</v>
      </c>
      <c r="N3441" s="69">
        <f t="shared" si="406"/>
        <v>0</v>
      </c>
      <c r="O3441" s="281"/>
      <c r="P3441" s="214">
        <v>2755</v>
      </c>
      <c r="Q3441" s="215">
        <v>91</v>
      </c>
      <c r="R3441" s="216" t="s">
        <v>2613</v>
      </c>
      <c r="S3441" s="217"/>
      <c r="T3441" s="218">
        <v>0</v>
      </c>
      <c r="U3441" s="218">
        <v>0</v>
      </c>
      <c r="V3441" s="219">
        <v>0</v>
      </c>
      <c r="W3441" s="219">
        <v>0</v>
      </c>
    </row>
    <row r="3442" spans="1:23" s="46" customFormat="1" ht="15" customHeight="1" thickTop="1">
      <c r="A3442" s="5"/>
      <c r="B3442" s="5"/>
      <c r="C3442" s="3">
        <v>91</v>
      </c>
      <c r="D3442" s="47"/>
      <c r="E3442" s="47"/>
      <c r="F3442" s="47"/>
      <c r="G3442" s="56"/>
      <c r="H3442" s="56"/>
      <c r="I3442" s="56"/>
      <c r="J3442" s="56"/>
      <c r="K3442" s="56"/>
      <c r="L3442" s="56"/>
      <c r="M3442" s="56"/>
      <c r="N3442" s="56"/>
      <c r="O3442" s="289"/>
      <c r="P3442" s="221"/>
      <c r="Q3442" s="221"/>
      <c r="R3442" s="221"/>
      <c r="S3442" s="221"/>
      <c r="T3442" s="221"/>
      <c r="U3442" s="221"/>
      <c r="V3442" s="221"/>
      <c r="W3442" s="221"/>
    </row>
    <row r="3443" spans="1:23" ht="15" customHeight="1">
      <c r="C3443" s="3">
        <v>91</v>
      </c>
      <c r="D3443" s="47" t="s">
        <v>1977</v>
      </c>
      <c r="G3443" s="26"/>
      <c r="H3443" s="26"/>
      <c r="I3443" s="26"/>
      <c r="J3443" s="26"/>
      <c r="K3443" s="26"/>
      <c r="L3443" s="26"/>
      <c r="M3443" s="26"/>
      <c r="N3443" s="26"/>
      <c r="P3443" s="214">
        <v>2756</v>
      </c>
      <c r="Q3443" s="215">
        <v>91</v>
      </c>
      <c r="R3443" s="216" t="s">
        <v>2614</v>
      </c>
      <c r="S3443" s="217"/>
      <c r="T3443" s="218"/>
      <c r="U3443" s="218"/>
      <c r="V3443" s="219"/>
      <c r="W3443" s="219"/>
    </row>
    <row r="3444" spans="1:23" ht="15" customHeight="1">
      <c r="C3444" s="3">
        <v>91</v>
      </c>
      <c r="G3444" s="26"/>
      <c r="H3444" s="26"/>
      <c r="I3444" s="26"/>
      <c r="J3444" s="26"/>
      <c r="K3444" s="26"/>
      <c r="L3444" s="26"/>
      <c r="M3444" s="26"/>
      <c r="N3444" s="26"/>
      <c r="P3444" s="214">
        <v>2757</v>
      </c>
      <c r="Q3444" s="215">
        <v>91</v>
      </c>
      <c r="R3444" s="216" t="s">
        <v>2615</v>
      </c>
      <c r="S3444" s="217"/>
      <c r="T3444" s="218"/>
      <c r="U3444" s="218"/>
      <c r="V3444" s="219"/>
      <c r="W3444" s="219"/>
    </row>
    <row r="3445" spans="1:23" ht="15" customHeight="1">
      <c r="B3445" s="2" t="s">
        <v>2318</v>
      </c>
      <c r="C3445" s="3">
        <v>91</v>
      </c>
      <c r="D3445" s="47" t="s">
        <v>1667</v>
      </c>
      <c r="G3445" s="26">
        <f>+G3468</f>
        <v>-1575</v>
      </c>
      <c r="H3445" s="26">
        <f t="shared" ref="H3445:N3445" si="407">+H3468</f>
        <v>0</v>
      </c>
      <c r="I3445" s="26">
        <f t="shared" si="407"/>
        <v>0</v>
      </c>
      <c r="J3445" s="26">
        <f t="shared" si="407"/>
        <v>0</v>
      </c>
      <c r="K3445" s="26">
        <f t="shared" si="407"/>
        <v>0</v>
      </c>
      <c r="L3445" s="26">
        <f t="shared" si="407"/>
        <v>0</v>
      </c>
      <c r="M3445" s="26">
        <f t="shared" si="407"/>
        <v>0</v>
      </c>
      <c r="N3445" s="26">
        <f t="shared" si="407"/>
        <v>0</v>
      </c>
      <c r="P3445" s="214">
        <v>2758</v>
      </c>
      <c r="Q3445" s="215">
        <v>91</v>
      </c>
      <c r="R3445" s="216" t="s">
        <v>1667</v>
      </c>
      <c r="S3445" s="217"/>
      <c r="T3445" s="218">
        <v>0</v>
      </c>
      <c r="U3445" s="218">
        <v>0</v>
      </c>
      <c r="V3445" s="219">
        <v>0</v>
      </c>
      <c r="W3445" s="219">
        <v>0</v>
      </c>
    </row>
    <row r="3446" spans="1:23" ht="15" customHeight="1">
      <c r="C3446" s="3">
        <v>91</v>
      </c>
      <c r="D3446" s="47"/>
      <c r="G3446" s="26"/>
      <c r="H3446" s="26"/>
      <c r="I3446" s="26"/>
      <c r="J3446" s="26"/>
      <c r="K3446" s="26"/>
      <c r="L3446" s="26"/>
      <c r="M3446" s="26"/>
      <c r="N3446" s="26"/>
      <c r="P3446" s="222"/>
      <c r="Q3446" s="222"/>
      <c r="R3446" s="222"/>
      <c r="S3446" s="223"/>
      <c r="T3446" s="223"/>
      <c r="U3446" s="223"/>
      <c r="V3446" s="224"/>
      <c r="W3446" s="224"/>
    </row>
    <row r="3447" spans="1:23" s="37" customFormat="1" ht="15" customHeight="1">
      <c r="A3447" s="2"/>
      <c r="B3447" s="2" t="s">
        <v>2318</v>
      </c>
      <c r="C3447" s="3">
        <v>91</v>
      </c>
      <c r="D3447" s="54" t="str">
        <f>+D3470</f>
        <v>*** TOTAL FUND 91 EXPENSES ***</v>
      </c>
      <c r="E3447" s="54"/>
      <c r="F3447" s="54">
        <f t="shared" ref="F3447:N3447" si="408">+F3470</f>
        <v>0</v>
      </c>
      <c r="G3447" s="339">
        <f t="shared" si="408"/>
        <v>-1575</v>
      </c>
      <c r="H3447" s="339">
        <f t="shared" si="408"/>
        <v>0</v>
      </c>
      <c r="I3447" s="339">
        <f t="shared" si="408"/>
        <v>0</v>
      </c>
      <c r="J3447" s="339">
        <f t="shared" si="408"/>
        <v>0</v>
      </c>
      <c r="K3447" s="339">
        <f t="shared" si="408"/>
        <v>0</v>
      </c>
      <c r="L3447" s="339">
        <f t="shared" si="408"/>
        <v>0</v>
      </c>
      <c r="M3447" s="339">
        <f t="shared" si="408"/>
        <v>0</v>
      </c>
      <c r="N3447" s="339">
        <f t="shared" si="408"/>
        <v>0</v>
      </c>
      <c r="O3447" s="303"/>
      <c r="P3447" s="214">
        <v>2759</v>
      </c>
      <c r="Q3447" s="215">
        <v>91</v>
      </c>
      <c r="R3447" s="216" t="s">
        <v>2618</v>
      </c>
      <c r="S3447" s="217"/>
      <c r="T3447" s="218">
        <v>0</v>
      </c>
      <c r="U3447" s="218">
        <v>0</v>
      </c>
      <c r="V3447" s="219">
        <v>0</v>
      </c>
      <c r="W3447" s="219">
        <v>0</v>
      </c>
    </row>
    <row r="3448" spans="1:23" s="46" customFormat="1" ht="15" customHeight="1">
      <c r="A3448" s="5"/>
      <c r="B3448" s="5"/>
      <c r="C3448" s="3">
        <v>91</v>
      </c>
      <c r="D3448" s="47"/>
      <c r="E3448" s="47"/>
      <c r="F3448" s="47"/>
      <c r="G3448" s="56"/>
      <c r="H3448" s="56"/>
      <c r="I3448" s="56"/>
      <c r="J3448" s="56"/>
      <c r="K3448" s="56"/>
      <c r="L3448" s="56"/>
      <c r="M3448" s="56"/>
      <c r="N3448" s="56"/>
      <c r="O3448" s="289"/>
      <c r="P3448" s="221"/>
      <c r="Q3448" s="221"/>
      <c r="R3448" s="221"/>
      <c r="S3448" s="221"/>
      <c r="T3448" s="221"/>
      <c r="U3448" s="221"/>
      <c r="V3448" s="221"/>
      <c r="W3448" s="221"/>
    </row>
    <row r="3449" spans="1:23" s="33" customFormat="1" ht="15" customHeight="1" thickBot="1">
      <c r="A3449" s="2"/>
      <c r="B3449" s="2" t="s">
        <v>2318</v>
      </c>
      <c r="C3449" s="3">
        <v>91</v>
      </c>
      <c r="D3449" s="335" t="str">
        <f>+D3472</f>
        <v>*** FUND 91 REVENUES OVER(UNDER) EXPENSES ***</v>
      </c>
      <c r="E3449" s="336"/>
      <c r="F3449" s="336">
        <f>+F3472</f>
        <v>0</v>
      </c>
      <c r="G3449" s="336">
        <f>+G3472</f>
        <v>1575</v>
      </c>
      <c r="H3449" s="336">
        <f t="shared" ref="H3449:N3449" si="409">+H3472</f>
        <v>0</v>
      </c>
      <c r="I3449" s="336">
        <f t="shared" si="409"/>
        <v>0</v>
      </c>
      <c r="J3449" s="336">
        <f t="shared" si="409"/>
        <v>0</v>
      </c>
      <c r="K3449" s="336">
        <f t="shared" si="409"/>
        <v>0</v>
      </c>
      <c r="L3449" s="336">
        <f t="shared" si="409"/>
        <v>0</v>
      </c>
      <c r="M3449" s="336">
        <f t="shared" si="409"/>
        <v>0</v>
      </c>
      <c r="N3449" s="336">
        <f t="shared" si="409"/>
        <v>0</v>
      </c>
      <c r="O3449" s="301"/>
      <c r="P3449" s="214">
        <v>2760</v>
      </c>
      <c r="Q3449" s="215">
        <v>91</v>
      </c>
      <c r="R3449" s="216" t="s">
        <v>2619</v>
      </c>
      <c r="S3449" s="217"/>
      <c r="T3449" s="218">
        <v>0</v>
      </c>
      <c r="U3449" s="218">
        <v>0</v>
      </c>
      <c r="V3449" s="219">
        <v>0</v>
      </c>
      <c r="W3449" s="219">
        <v>0</v>
      </c>
    </row>
    <row r="3450" spans="1:23" s="46" customFormat="1" ht="15" customHeight="1" thickTop="1">
      <c r="A3450" s="5"/>
      <c r="B3450" s="5"/>
      <c r="C3450" s="3">
        <v>91</v>
      </c>
      <c r="D3450" s="58"/>
      <c r="E3450" s="56"/>
      <c r="F3450" s="56"/>
      <c r="G3450" s="56"/>
      <c r="H3450" s="56"/>
      <c r="I3450" s="56"/>
      <c r="J3450" s="56"/>
      <c r="K3450" s="56"/>
      <c r="L3450" s="56"/>
      <c r="M3450" s="56"/>
      <c r="N3450" s="56"/>
      <c r="O3450" s="289"/>
      <c r="P3450" s="221"/>
      <c r="Q3450" s="221"/>
      <c r="R3450" s="221"/>
      <c r="S3450" s="221"/>
      <c r="T3450" s="221"/>
      <c r="U3450" s="221"/>
      <c r="V3450" s="221"/>
      <c r="W3450" s="221"/>
    </row>
    <row r="3451" spans="1:23" ht="15" customHeight="1">
      <c r="C3451" s="3">
        <v>91</v>
      </c>
      <c r="D3451" s="54" t="s">
        <v>2875</v>
      </c>
      <c r="E3451" s="54"/>
      <c r="F3451" s="192"/>
      <c r="G3451" s="55"/>
      <c r="H3451" s="55"/>
      <c r="I3451" s="55"/>
      <c r="J3451" s="55"/>
      <c r="K3451" s="55">
        <f>+K3435+K3441+K3447</f>
        <v>0</v>
      </c>
      <c r="L3451" s="55"/>
      <c r="M3451" s="55">
        <f>+M3435+M3441+M3447</f>
        <v>0</v>
      </c>
      <c r="N3451" s="55">
        <f>+N3435+N3441+N3447</f>
        <v>0</v>
      </c>
      <c r="O3451" s="253"/>
      <c r="P3451" s="203"/>
      <c r="Q3451" s="204"/>
      <c r="R3451" s="205"/>
      <c r="S3451" s="206"/>
      <c r="T3451" s="207"/>
      <c r="U3451" s="207"/>
      <c r="V3451" s="208"/>
      <c r="W3451" s="212"/>
    </row>
    <row r="3452" spans="1:23" s="46" customFormat="1" ht="15" customHeight="1">
      <c r="A3452" s="195"/>
      <c r="B3452" s="195"/>
      <c r="C3452" s="3">
        <v>91</v>
      </c>
      <c r="D3452" s="58"/>
      <c r="E3452" s="56"/>
      <c r="F3452" s="56"/>
      <c r="G3452" s="56"/>
      <c r="H3452" s="56"/>
      <c r="I3452" s="56"/>
      <c r="J3452" s="56"/>
      <c r="K3452" s="56"/>
      <c r="L3452" s="56"/>
      <c r="M3452" s="26"/>
      <c r="N3452" s="26"/>
      <c r="O3452" s="289"/>
      <c r="P3452" s="221"/>
      <c r="Q3452" s="221"/>
      <c r="R3452" s="221"/>
      <c r="S3452" s="221"/>
      <c r="T3452" s="221"/>
      <c r="U3452" s="221"/>
      <c r="V3452" s="221"/>
      <c r="W3452" s="221"/>
    </row>
    <row r="3453" spans="1:23" ht="15" customHeight="1">
      <c r="C3453" s="3">
        <v>91</v>
      </c>
      <c r="D3453" s="15">
        <v>4130</v>
      </c>
      <c r="E3453" s="312" t="s">
        <v>1938</v>
      </c>
      <c r="G3453" s="26">
        <v>0</v>
      </c>
      <c r="H3453" s="26">
        <v>0</v>
      </c>
      <c r="I3453" s="26">
        <v>0</v>
      </c>
      <c r="J3453" s="26">
        <v>0</v>
      </c>
      <c r="K3453" s="26">
        <v>0</v>
      </c>
      <c r="L3453" s="26">
        <v>0</v>
      </c>
      <c r="M3453" s="26">
        <v>0</v>
      </c>
      <c r="N3453" s="26">
        <v>0</v>
      </c>
      <c r="O3453" s="285"/>
      <c r="P3453" s="214">
        <v>2761</v>
      </c>
      <c r="Q3453" s="215">
        <v>91</v>
      </c>
      <c r="R3453" s="216">
        <v>4130</v>
      </c>
      <c r="S3453" s="217" t="s">
        <v>1938</v>
      </c>
      <c r="T3453" s="218">
        <v>0</v>
      </c>
      <c r="U3453" s="218">
        <v>0</v>
      </c>
      <c r="V3453" s="219">
        <v>0</v>
      </c>
      <c r="W3453" s="219">
        <v>0</v>
      </c>
    </row>
    <row r="3454" spans="1:23" ht="15" customHeight="1">
      <c r="C3454" s="3">
        <v>91</v>
      </c>
      <c r="D3454" s="15">
        <v>4330</v>
      </c>
      <c r="E3454" s="312" t="s">
        <v>1669</v>
      </c>
      <c r="G3454" s="26">
        <v>0</v>
      </c>
      <c r="H3454" s="26">
        <v>0</v>
      </c>
      <c r="I3454" s="26">
        <v>0</v>
      </c>
      <c r="J3454" s="26">
        <v>0</v>
      </c>
      <c r="K3454" s="26">
        <v>0</v>
      </c>
      <c r="L3454" s="26">
        <v>0</v>
      </c>
      <c r="M3454" s="26">
        <v>0</v>
      </c>
      <c r="N3454" s="26">
        <v>0</v>
      </c>
      <c r="O3454" s="285"/>
      <c r="P3454" s="214">
        <v>2762</v>
      </c>
      <c r="Q3454" s="215">
        <v>91</v>
      </c>
      <c r="R3454" s="216">
        <v>4330</v>
      </c>
      <c r="S3454" s="217" t="s">
        <v>1669</v>
      </c>
      <c r="T3454" s="218">
        <v>0</v>
      </c>
      <c r="U3454" s="218">
        <v>0</v>
      </c>
      <c r="V3454" s="219">
        <v>0</v>
      </c>
      <c r="W3454" s="219">
        <v>0</v>
      </c>
    </row>
    <row r="3455" spans="1:23" ht="15" customHeight="1">
      <c r="C3455" s="3">
        <v>91</v>
      </c>
      <c r="E3455" s="14"/>
      <c r="G3455" s="26"/>
      <c r="H3455" s="26"/>
      <c r="I3455" s="26"/>
      <c r="J3455" s="26"/>
      <c r="K3455" s="26"/>
      <c r="L3455" s="26"/>
      <c r="M3455" s="26"/>
      <c r="N3455" s="26"/>
      <c r="P3455" s="222"/>
      <c r="Q3455" s="222"/>
      <c r="R3455" s="222"/>
      <c r="S3455" s="223"/>
      <c r="T3455" s="223"/>
      <c r="U3455" s="223"/>
      <c r="V3455" s="224"/>
      <c r="W3455" s="224"/>
    </row>
    <row r="3456" spans="1:23" s="27" customFormat="1" ht="15" customHeight="1" thickBot="1">
      <c r="A3456" s="2"/>
      <c r="B3456" s="2" t="s">
        <v>2317</v>
      </c>
      <c r="C3456" s="3">
        <v>91</v>
      </c>
      <c r="D3456" s="68" t="s">
        <v>2311</v>
      </c>
      <c r="E3456" s="68"/>
      <c r="F3456" s="320"/>
      <c r="G3456" s="69">
        <f>SUM(G3452:G3455)</f>
        <v>0</v>
      </c>
      <c r="H3456" s="69">
        <f t="shared" ref="H3456:N3456" si="410">SUM(H3452:H3455)</f>
        <v>0</v>
      </c>
      <c r="I3456" s="69">
        <f t="shared" si="410"/>
        <v>0</v>
      </c>
      <c r="J3456" s="69">
        <f t="shared" si="410"/>
        <v>0</v>
      </c>
      <c r="K3456" s="69">
        <f t="shared" si="410"/>
        <v>0</v>
      </c>
      <c r="L3456" s="69">
        <f t="shared" si="410"/>
        <v>0</v>
      </c>
      <c r="M3456" s="69">
        <f t="shared" si="410"/>
        <v>0</v>
      </c>
      <c r="N3456" s="69">
        <f t="shared" si="410"/>
        <v>0</v>
      </c>
      <c r="O3456" s="281"/>
      <c r="P3456" s="214">
        <v>2763</v>
      </c>
      <c r="Q3456" s="215">
        <v>91</v>
      </c>
      <c r="R3456" s="216" t="s">
        <v>2620</v>
      </c>
      <c r="S3456" s="217"/>
      <c r="T3456" s="218">
        <v>0</v>
      </c>
      <c r="U3456" s="218">
        <v>0</v>
      </c>
      <c r="V3456" s="219">
        <v>0</v>
      </c>
      <c r="W3456" s="219">
        <v>0</v>
      </c>
    </row>
    <row r="3457" spans="1:23" s="46" customFormat="1" ht="15" customHeight="1" thickTop="1">
      <c r="A3457" s="5"/>
      <c r="B3457" s="5"/>
      <c r="C3457" s="3">
        <v>91</v>
      </c>
      <c r="D3457" s="47"/>
      <c r="E3457" s="47"/>
      <c r="F3457" s="191"/>
      <c r="G3457" s="56"/>
      <c r="H3457" s="56"/>
      <c r="I3457" s="56"/>
      <c r="J3457" s="56"/>
      <c r="K3457" s="56"/>
      <c r="L3457" s="56"/>
      <c r="M3457" s="56"/>
      <c r="N3457" s="56"/>
      <c r="O3457" s="289"/>
      <c r="P3457" s="221"/>
      <c r="Q3457" s="221"/>
      <c r="R3457" s="221"/>
      <c r="S3457" s="221"/>
      <c r="T3457" s="221"/>
      <c r="U3457" s="221"/>
      <c r="V3457" s="221"/>
      <c r="W3457" s="221"/>
    </row>
    <row r="3458" spans="1:23" ht="15" customHeight="1">
      <c r="C3458" s="3">
        <v>91</v>
      </c>
      <c r="D3458" s="47" t="s">
        <v>1975</v>
      </c>
      <c r="G3458" s="26"/>
      <c r="H3458" s="26"/>
      <c r="I3458" s="26"/>
      <c r="J3458" s="26"/>
      <c r="K3458" s="26"/>
      <c r="L3458" s="26"/>
      <c r="M3458" s="26"/>
      <c r="N3458" s="26"/>
      <c r="P3458" s="214">
        <v>2764</v>
      </c>
      <c r="Q3458" s="215">
        <v>91</v>
      </c>
      <c r="R3458" s="216" t="s">
        <v>245</v>
      </c>
      <c r="S3458" s="217"/>
      <c r="T3458" s="218"/>
      <c r="U3458" s="218"/>
      <c r="V3458" s="219"/>
      <c r="W3458" s="219"/>
    </row>
    <row r="3459" spans="1:23" ht="15" customHeight="1">
      <c r="C3459" s="3">
        <v>91</v>
      </c>
      <c r="G3459" s="26"/>
      <c r="H3459" s="26"/>
      <c r="I3459" s="26"/>
      <c r="J3459" s="26"/>
      <c r="K3459" s="26"/>
      <c r="L3459" s="26"/>
      <c r="M3459" s="26"/>
      <c r="N3459" s="26"/>
      <c r="P3459" s="214">
        <v>2765</v>
      </c>
      <c r="Q3459" s="215">
        <v>91</v>
      </c>
      <c r="R3459" s="216" t="s">
        <v>2628</v>
      </c>
      <c r="S3459" s="217"/>
      <c r="T3459" s="218"/>
      <c r="U3459" s="218"/>
      <c r="V3459" s="219"/>
      <c r="W3459" s="219"/>
    </row>
    <row r="3460" spans="1:23" ht="15" customHeight="1">
      <c r="C3460" s="3">
        <v>91</v>
      </c>
      <c r="D3460" s="15" t="s">
        <v>1670</v>
      </c>
      <c r="E3460" s="312" t="s">
        <v>1671</v>
      </c>
      <c r="G3460" s="26">
        <v>0</v>
      </c>
      <c r="H3460" s="26">
        <v>0</v>
      </c>
      <c r="I3460" s="26">
        <v>0</v>
      </c>
      <c r="J3460" s="26">
        <v>0</v>
      </c>
      <c r="K3460" s="26">
        <v>0</v>
      </c>
      <c r="L3460" s="26">
        <v>0</v>
      </c>
      <c r="M3460" s="26">
        <v>0</v>
      </c>
      <c r="N3460" s="26">
        <v>0</v>
      </c>
      <c r="O3460" s="285"/>
      <c r="P3460" s="214">
        <v>2766</v>
      </c>
      <c r="Q3460" s="215">
        <v>91</v>
      </c>
      <c r="R3460" s="216" t="s">
        <v>1670</v>
      </c>
      <c r="S3460" s="217" t="s">
        <v>1671</v>
      </c>
      <c r="T3460" s="218">
        <v>0</v>
      </c>
      <c r="U3460" s="218">
        <v>0</v>
      </c>
      <c r="V3460" s="219">
        <v>0</v>
      </c>
      <c r="W3460" s="219">
        <v>0</v>
      </c>
    </row>
    <row r="3461" spans="1:23" ht="15" customHeight="1">
      <c r="C3461" s="3">
        <v>91</v>
      </c>
      <c r="D3461" s="15" t="s">
        <v>1672</v>
      </c>
      <c r="E3461" s="312" t="s">
        <v>1673</v>
      </c>
      <c r="G3461" s="26">
        <v>-1575</v>
      </c>
      <c r="H3461" s="26">
        <v>0</v>
      </c>
      <c r="I3461" s="26">
        <v>0</v>
      </c>
      <c r="J3461" s="26">
        <v>0</v>
      </c>
      <c r="K3461" s="26">
        <v>0</v>
      </c>
      <c r="L3461" s="26">
        <v>0</v>
      </c>
      <c r="M3461" s="26">
        <v>0</v>
      </c>
      <c r="N3461" s="26">
        <v>0</v>
      </c>
      <c r="O3461" s="285"/>
      <c r="P3461" s="214">
        <v>2767</v>
      </c>
      <c r="Q3461" s="215">
        <v>91</v>
      </c>
      <c r="R3461" s="216" t="s">
        <v>1672</v>
      </c>
      <c r="S3461" s="217" t="s">
        <v>1673</v>
      </c>
      <c r="T3461" s="218">
        <v>0</v>
      </c>
      <c r="U3461" s="218">
        <v>0</v>
      </c>
      <c r="V3461" s="219">
        <v>0</v>
      </c>
      <c r="W3461" s="219">
        <v>0</v>
      </c>
    </row>
    <row r="3462" spans="1:23" ht="15" customHeight="1">
      <c r="C3462" s="3">
        <v>91</v>
      </c>
      <c r="D3462" s="15" t="s">
        <v>1674</v>
      </c>
      <c r="E3462" s="312" t="s">
        <v>1939</v>
      </c>
      <c r="G3462" s="26">
        <v>0</v>
      </c>
      <c r="H3462" s="26">
        <v>0</v>
      </c>
      <c r="I3462" s="26">
        <v>0</v>
      </c>
      <c r="J3462" s="26">
        <v>0</v>
      </c>
      <c r="K3462" s="26">
        <v>0</v>
      </c>
      <c r="L3462" s="26">
        <v>0</v>
      </c>
      <c r="M3462" s="26">
        <v>0</v>
      </c>
      <c r="N3462" s="26">
        <v>0</v>
      </c>
      <c r="O3462" s="285"/>
      <c r="P3462" s="214">
        <v>2768</v>
      </c>
      <c r="Q3462" s="215">
        <v>91</v>
      </c>
      <c r="R3462" s="216" t="s">
        <v>1674</v>
      </c>
      <c r="S3462" s="217" t="s">
        <v>1939</v>
      </c>
      <c r="T3462" s="218">
        <v>0</v>
      </c>
      <c r="U3462" s="218">
        <v>0</v>
      </c>
      <c r="V3462" s="219">
        <v>0</v>
      </c>
      <c r="W3462" s="219">
        <v>0</v>
      </c>
    </row>
    <row r="3463" spans="1:23" ht="15" customHeight="1">
      <c r="C3463" s="3">
        <v>91</v>
      </c>
      <c r="D3463" s="15" t="s">
        <v>1676</v>
      </c>
      <c r="E3463" s="312" t="s">
        <v>1677</v>
      </c>
      <c r="G3463" s="26">
        <v>0</v>
      </c>
      <c r="H3463" s="26">
        <v>0</v>
      </c>
      <c r="I3463" s="26">
        <v>0</v>
      </c>
      <c r="J3463" s="26">
        <v>0</v>
      </c>
      <c r="K3463" s="26">
        <v>0</v>
      </c>
      <c r="L3463" s="26">
        <v>0</v>
      </c>
      <c r="M3463" s="26">
        <v>0</v>
      </c>
      <c r="N3463" s="26">
        <v>0</v>
      </c>
      <c r="O3463" s="285"/>
      <c r="P3463" s="214">
        <v>2769</v>
      </c>
      <c r="Q3463" s="215">
        <v>91</v>
      </c>
      <c r="R3463" s="216" t="s">
        <v>1676</v>
      </c>
      <c r="S3463" s="217" t="s">
        <v>1677</v>
      </c>
      <c r="T3463" s="218">
        <v>0</v>
      </c>
      <c r="U3463" s="218">
        <v>0</v>
      </c>
      <c r="V3463" s="219">
        <v>0</v>
      </c>
      <c r="W3463" s="219">
        <v>0</v>
      </c>
    </row>
    <row r="3464" spans="1:23" ht="15" customHeight="1">
      <c r="C3464" s="3">
        <v>91</v>
      </c>
      <c r="D3464" s="15" t="s">
        <v>1678</v>
      </c>
      <c r="E3464" s="312" t="s">
        <v>1679</v>
      </c>
      <c r="G3464" s="26">
        <v>0</v>
      </c>
      <c r="H3464" s="26">
        <v>0</v>
      </c>
      <c r="I3464" s="26">
        <v>0</v>
      </c>
      <c r="J3464" s="26">
        <v>0</v>
      </c>
      <c r="K3464" s="26">
        <v>0</v>
      </c>
      <c r="L3464" s="26">
        <v>0</v>
      </c>
      <c r="M3464" s="26">
        <v>0</v>
      </c>
      <c r="N3464" s="26">
        <v>0</v>
      </c>
      <c r="O3464" s="285"/>
      <c r="P3464" s="214">
        <v>2770</v>
      </c>
      <c r="Q3464" s="215">
        <v>91</v>
      </c>
      <c r="R3464" s="216" t="s">
        <v>1678</v>
      </c>
      <c r="S3464" s="217" t="s">
        <v>1679</v>
      </c>
      <c r="T3464" s="218">
        <v>0</v>
      </c>
      <c r="U3464" s="218">
        <v>0</v>
      </c>
      <c r="V3464" s="219">
        <v>0</v>
      </c>
      <c r="W3464" s="219">
        <v>0</v>
      </c>
    </row>
    <row r="3465" spans="1:23" ht="15" customHeight="1">
      <c r="C3465" s="3">
        <v>91</v>
      </c>
      <c r="G3465" s="26"/>
      <c r="H3465" s="26"/>
      <c r="I3465" s="26"/>
      <c r="J3465" s="26"/>
      <c r="K3465" s="26"/>
      <c r="L3465" s="26"/>
      <c r="M3465" s="26"/>
      <c r="N3465" s="26"/>
      <c r="P3465" s="214">
        <v>2771</v>
      </c>
      <c r="Q3465" s="215">
        <v>91</v>
      </c>
      <c r="R3465" s="216" t="s">
        <v>2623</v>
      </c>
      <c r="S3465" s="217"/>
      <c r="T3465" s="218"/>
      <c r="U3465" s="218"/>
      <c r="V3465" s="219"/>
      <c r="W3465" s="219"/>
    </row>
    <row r="3466" spans="1:23" s="24" customFormat="1" ht="15" customHeight="1">
      <c r="A3466" s="2" t="s">
        <v>245</v>
      </c>
      <c r="B3466" s="2" t="s">
        <v>2317</v>
      </c>
      <c r="C3466" s="3">
        <v>91</v>
      </c>
      <c r="D3466" s="323" t="s">
        <v>1971</v>
      </c>
      <c r="E3466" s="323"/>
      <c r="F3466" s="324"/>
      <c r="G3466" s="325">
        <f>SUM(G3458:G3465)</f>
        <v>-1575</v>
      </c>
      <c r="H3466" s="325">
        <f t="shared" ref="H3466:N3466" si="411">SUM(H3458:H3465)</f>
        <v>0</v>
      </c>
      <c r="I3466" s="325">
        <f t="shared" si="411"/>
        <v>0</v>
      </c>
      <c r="J3466" s="325">
        <f t="shared" si="411"/>
        <v>0</v>
      </c>
      <c r="K3466" s="325">
        <f t="shared" si="411"/>
        <v>0</v>
      </c>
      <c r="L3466" s="325">
        <f t="shared" si="411"/>
        <v>0</v>
      </c>
      <c r="M3466" s="325">
        <f t="shared" si="411"/>
        <v>0</v>
      </c>
      <c r="N3466" s="325">
        <f t="shared" si="411"/>
        <v>0</v>
      </c>
      <c r="O3466" s="292"/>
      <c r="P3466" s="214">
        <v>2772</v>
      </c>
      <c r="Q3466" s="215">
        <v>91</v>
      </c>
      <c r="R3466" s="216" t="s">
        <v>245</v>
      </c>
      <c r="S3466" s="217"/>
      <c r="T3466" s="218">
        <v>0</v>
      </c>
      <c r="U3466" s="218">
        <v>0</v>
      </c>
      <c r="V3466" s="219">
        <v>0</v>
      </c>
      <c r="W3466" s="219">
        <v>0</v>
      </c>
    </row>
    <row r="3467" spans="1:23" ht="15" customHeight="1">
      <c r="C3467" s="3">
        <v>91</v>
      </c>
      <c r="G3467" s="26"/>
      <c r="H3467" s="26"/>
      <c r="I3467" s="26"/>
      <c r="J3467" s="26"/>
      <c r="K3467" s="26"/>
      <c r="L3467" s="26"/>
      <c r="M3467" s="26"/>
      <c r="N3467" s="26"/>
      <c r="P3467" s="214">
        <v>2773</v>
      </c>
      <c r="Q3467" s="215">
        <v>91</v>
      </c>
      <c r="R3467" s="216" t="s">
        <v>2623</v>
      </c>
      <c r="S3467" s="217"/>
      <c r="T3467" s="218"/>
      <c r="U3467" s="218"/>
      <c r="V3467" s="219"/>
      <c r="W3467" s="219"/>
    </row>
    <row r="3468" spans="1:23" ht="15" customHeight="1">
      <c r="B3468" s="2" t="s">
        <v>2317</v>
      </c>
      <c r="C3468" s="3">
        <v>91</v>
      </c>
      <c r="D3468" s="47" t="s">
        <v>1667</v>
      </c>
      <c r="G3468" s="26">
        <f>SUM(G3466:G3467)</f>
        <v>-1575</v>
      </c>
      <c r="H3468" s="26">
        <f t="shared" ref="H3468:N3468" si="412">SUM(H3466:H3467)</f>
        <v>0</v>
      </c>
      <c r="I3468" s="26">
        <f t="shared" si="412"/>
        <v>0</v>
      </c>
      <c r="J3468" s="26">
        <f t="shared" si="412"/>
        <v>0</v>
      </c>
      <c r="K3468" s="26">
        <f t="shared" si="412"/>
        <v>0</v>
      </c>
      <c r="L3468" s="26">
        <f t="shared" si="412"/>
        <v>0</v>
      </c>
      <c r="M3468" s="26">
        <f t="shared" si="412"/>
        <v>0</v>
      </c>
      <c r="N3468" s="26">
        <f t="shared" si="412"/>
        <v>0</v>
      </c>
      <c r="P3468" s="214">
        <v>2774</v>
      </c>
      <c r="Q3468" s="215">
        <v>91</v>
      </c>
      <c r="R3468" s="216" t="s">
        <v>1667</v>
      </c>
      <c r="S3468" s="217"/>
      <c r="T3468" s="218">
        <v>0</v>
      </c>
      <c r="U3468" s="218">
        <v>0</v>
      </c>
      <c r="V3468" s="219">
        <v>0</v>
      </c>
      <c r="W3468" s="219">
        <v>0</v>
      </c>
    </row>
    <row r="3469" spans="1:23" ht="15" customHeight="1">
      <c r="C3469" s="3">
        <v>91</v>
      </c>
      <c r="D3469" s="47"/>
      <c r="G3469" s="26"/>
      <c r="H3469" s="26"/>
      <c r="I3469" s="26"/>
      <c r="J3469" s="26"/>
      <c r="K3469" s="26"/>
      <c r="L3469" s="26"/>
      <c r="M3469" s="26"/>
      <c r="N3469" s="26"/>
      <c r="P3469" s="222"/>
      <c r="Q3469" s="222"/>
      <c r="R3469" s="222"/>
      <c r="S3469" s="223"/>
      <c r="T3469" s="223"/>
      <c r="U3469" s="223"/>
      <c r="V3469" s="224"/>
      <c r="W3469" s="224"/>
    </row>
    <row r="3470" spans="1:23" s="31" customFormat="1" ht="15" customHeight="1">
      <c r="A3470" s="2"/>
      <c r="B3470" s="2" t="s">
        <v>2317</v>
      </c>
      <c r="C3470" s="3">
        <v>91</v>
      </c>
      <c r="D3470" s="54" t="s">
        <v>2288</v>
      </c>
      <c r="E3470" s="54"/>
      <c r="F3470" s="192"/>
      <c r="G3470" s="339">
        <f>SUM(G3468:G3469)</f>
        <v>-1575</v>
      </c>
      <c r="H3470" s="339">
        <f t="shared" ref="H3470:N3470" si="413">SUM(H3468:H3469)</f>
        <v>0</v>
      </c>
      <c r="I3470" s="339">
        <f t="shared" si="413"/>
        <v>0</v>
      </c>
      <c r="J3470" s="339">
        <f t="shared" si="413"/>
        <v>0</v>
      </c>
      <c r="K3470" s="339">
        <f t="shared" si="413"/>
        <v>0</v>
      </c>
      <c r="L3470" s="339">
        <f t="shared" si="413"/>
        <v>0</v>
      </c>
      <c r="M3470" s="339">
        <f t="shared" si="413"/>
        <v>0</v>
      </c>
      <c r="N3470" s="339">
        <f t="shared" si="413"/>
        <v>0</v>
      </c>
      <c r="O3470" s="305"/>
      <c r="P3470" s="214">
        <v>2775</v>
      </c>
      <c r="Q3470" s="215">
        <v>91</v>
      </c>
      <c r="R3470" s="216" t="s">
        <v>2618</v>
      </c>
      <c r="S3470" s="217"/>
      <c r="T3470" s="218">
        <v>0</v>
      </c>
      <c r="U3470" s="218">
        <v>0</v>
      </c>
      <c r="V3470" s="219">
        <v>0</v>
      </c>
      <c r="W3470" s="219">
        <v>0</v>
      </c>
    </row>
    <row r="3471" spans="1:23" s="46" customFormat="1" ht="15" customHeight="1">
      <c r="A3471" s="5"/>
      <c r="B3471" s="5"/>
      <c r="C3471" s="3">
        <v>91</v>
      </c>
      <c r="D3471" s="47"/>
      <c r="E3471" s="47"/>
      <c r="F3471" s="191"/>
      <c r="G3471" s="56"/>
      <c r="H3471" s="56"/>
      <c r="I3471" s="56"/>
      <c r="J3471" s="56"/>
      <c r="K3471" s="56"/>
      <c r="L3471" s="56"/>
      <c r="M3471" s="56"/>
      <c r="N3471" s="56"/>
      <c r="O3471" s="289"/>
      <c r="P3471" s="221"/>
      <c r="Q3471" s="221"/>
      <c r="R3471" s="221"/>
      <c r="S3471" s="221"/>
      <c r="T3471" s="221"/>
      <c r="U3471" s="221"/>
      <c r="V3471" s="221"/>
      <c r="W3471" s="221"/>
    </row>
    <row r="3472" spans="1:23" s="33" customFormat="1" ht="15" customHeight="1" thickBot="1">
      <c r="A3472" s="2"/>
      <c r="B3472" s="2" t="s">
        <v>2317</v>
      </c>
      <c r="C3472" s="3">
        <v>91</v>
      </c>
      <c r="D3472" s="329" t="s">
        <v>2263</v>
      </c>
      <c r="E3472" s="329"/>
      <c r="F3472" s="330"/>
      <c r="G3472" s="336">
        <f>+G3456-G3470</f>
        <v>1575</v>
      </c>
      <c r="H3472" s="336">
        <f t="shared" ref="H3472:N3472" si="414">+H3456-H3470</f>
        <v>0</v>
      </c>
      <c r="I3472" s="336">
        <f t="shared" si="414"/>
        <v>0</v>
      </c>
      <c r="J3472" s="336">
        <f t="shared" si="414"/>
        <v>0</v>
      </c>
      <c r="K3472" s="336">
        <f t="shared" si="414"/>
        <v>0</v>
      </c>
      <c r="L3472" s="336">
        <f t="shared" si="414"/>
        <v>0</v>
      </c>
      <c r="M3472" s="336">
        <f t="shared" si="414"/>
        <v>0</v>
      </c>
      <c r="N3472" s="336">
        <f t="shared" si="414"/>
        <v>0</v>
      </c>
      <c r="O3472" s="301"/>
      <c r="P3472" s="214">
        <v>2776</v>
      </c>
      <c r="Q3472" s="215">
        <v>91</v>
      </c>
      <c r="R3472" s="216" t="s">
        <v>2619</v>
      </c>
      <c r="S3472" s="217"/>
      <c r="T3472" s="218">
        <v>0</v>
      </c>
      <c r="U3472" s="218">
        <v>0</v>
      </c>
      <c r="V3472" s="219">
        <v>0</v>
      </c>
      <c r="W3472" s="219">
        <v>0</v>
      </c>
    </row>
    <row r="3473" spans="1:23" s="46" customFormat="1" ht="15" customHeight="1" thickTop="1">
      <c r="A3473" s="5"/>
      <c r="B3473" s="5"/>
      <c r="C3473" s="3">
        <v>91</v>
      </c>
      <c r="D3473" s="47"/>
      <c r="E3473" s="47"/>
      <c r="F3473" s="191"/>
      <c r="G3473" s="56"/>
      <c r="H3473" s="56"/>
      <c r="I3473" s="56"/>
      <c r="J3473" s="56"/>
      <c r="K3473" s="56"/>
      <c r="L3473" s="56"/>
      <c r="M3473" s="56"/>
      <c r="N3473" s="56"/>
      <c r="O3473" s="289"/>
      <c r="P3473" s="221"/>
      <c r="Q3473" s="221"/>
      <c r="R3473" s="221"/>
      <c r="S3473" s="221"/>
      <c r="T3473" s="221"/>
      <c r="U3473" s="221"/>
      <c r="V3473" s="221"/>
      <c r="W3473" s="221"/>
    </row>
    <row r="3474" spans="1:23" ht="15" customHeight="1">
      <c r="C3474" s="3">
        <v>91</v>
      </c>
      <c r="D3474" s="54" t="s">
        <v>2875</v>
      </c>
      <c r="E3474" s="54"/>
      <c r="F3474" s="192"/>
      <c r="G3474" s="55"/>
      <c r="H3474" s="55"/>
      <c r="I3474" s="55"/>
      <c r="J3474" s="55"/>
      <c r="K3474" s="55">
        <f>+K3451</f>
        <v>0</v>
      </c>
      <c r="L3474" s="55"/>
      <c r="M3474" s="55">
        <f>+M3451</f>
        <v>0</v>
      </c>
      <c r="N3474" s="55">
        <f>+N3451</f>
        <v>0</v>
      </c>
      <c r="O3474" s="253"/>
      <c r="P3474" s="203"/>
      <c r="Q3474" s="204"/>
      <c r="R3474" s="205"/>
      <c r="S3474" s="206"/>
      <c r="T3474" s="207"/>
      <c r="U3474" s="207"/>
      <c r="V3474" s="208"/>
      <c r="W3474" s="212"/>
    </row>
    <row r="3475" spans="1:23" s="46" customFormat="1" ht="15" customHeight="1">
      <c r="A3475" s="195"/>
      <c r="B3475" s="195"/>
      <c r="C3475" s="3">
        <v>91</v>
      </c>
      <c r="D3475" s="47"/>
      <c r="E3475" s="47"/>
      <c r="F3475" s="191"/>
      <c r="G3475" s="56"/>
      <c r="H3475" s="56"/>
      <c r="I3475" s="56"/>
      <c r="J3475" s="56"/>
      <c r="K3475" s="56"/>
      <c r="L3475" s="56"/>
      <c r="M3475" s="56"/>
      <c r="N3475" s="56"/>
      <c r="O3475" s="289"/>
      <c r="P3475" s="221"/>
      <c r="Q3475" s="221"/>
      <c r="R3475" s="221"/>
      <c r="S3475" s="221"/>
      <c r="T3475" s="221"/>
      <c r="U3475" s="221"/>
      <c r="V3475" s="221"/>
      <c r="W3475" s="221"/>
    </row>
    <row r="3476" spans="1:23" s="35" customFormat="1" ht="15" customHeight="1">
      <c r="A3476" s="2"/>
      <c r="B3476" s="2"/>
      <c r="C3476" s="3">
        <v>91</v>
      </c>
      <c r="D3476" s="47" t="s">
        <v>1976</v>
      </c>
      <c r="E3476" s="47"/>
      <c r="F3476" s="191"/>
      <c r="G3476" s="48"/>
      <c r="H3476" s="48"/>
      <c r="I3476" s="48"/>
      <c r="J3476" s="48"/>
      <c r="K3476" s="48"/>
      <c r="L3476" s="48"/>
      <c r="M3476" s="48"/>
      <c r="N3476" s="48"/>
      <c r="O3476" s="276"/>
      <c r="P3476" s="214">
        <v>2777</v>
      </c>
      <c r="Q3476" s="215">
        <v>91</v>
      </c>
      <c r="R3476" s="216" t="s">
        <v>2630</v>
      </c>
      <c r="S3476" s="217"/>
      <c r="T3476" s="218"/>
      <c r="U3476" s="218"/>
      <c r="V3476" s="219"/>
      <c r="W3476" s="219"/>
    </row>
    <row r="3477" spans="1:23" s="35" customFormat="1" ht="15" customHeight="1">
      <c r="A3477" s="2"/>
      <c r="B3477" s="2"/>
      <c r="C3477" s="3"/>
      <c r="D3477" s="47"/>
      <c r="E3477" s="47"/>
      <c r="F3477" s="191"/>
      <c r="G3477" s="48"/>
      <c r="H3477" s="48"/>
      <c r="I3477" s="48"/>
      <c r="J3477" s="48"/>
      <c r="K3477" s="48"/>
      <c r="L3477" s="48"/>
      <c r="M3477" s="48"/>
      <c r="N3477" s="48"/>
      <c r="O3477" s="276"/>
    </row>
    <row r="3478" spans="1:23" s="35" customFormat="1" ht="15" customHeight="1">
      <c r="A3478" s="2"/>
      <c r="B3478" s="2"/>
      <c r="C3478" s="3"/>
      <c r="D3478" s="47"/>
      <c r="E3478" s="47"/>
      <c r="F3478" s="191"/>
      <c r="G3478" s="48"/>
      <c r="H3478" s="48"/>
      <c r="I3478" s="48"/>
      <c r="J3478" s="48"/>
      <c r="K3478" s="48"/>
      <c r="L3478" s="48"/>
      <c r="M3478" s="48"/>
      <c r="N3478" s="48"/>
      <c r="O3478" s="276"/>
    </row>
    <row r="3479" spans="1:23" s="35" customFormat="1" ht="15" customHeight="1">
      <c r="A3479" s="2"/>
      <c r="B3479" s="2"/>
      <c r="C3479" s="3"/>
      <c r="D3479" s="47"/>
      <c r="E3479" s="47"/>
      <c r="F3479" s="191"/>
      <c r="G3479" s="48"/>
      <c r="H3479" s="48"/>
      <c r="I3479" s="48"/>
      <c r="J3479" s="48"/>
      <c r="K3479" s="48"/>
      <c r="L3479" s="48"/>
      <c r="M3479" s="48"/>
      <c r="N3479" s="48"/>
      <c r="O3479" s="276"/>
    </row>
    <row r="3480" spans="1:23" s="35" customFormat="1" ht="15" customHeight="1">
      <c r="A3480" s="2"/>
      <c r="B3480" s="2"/>
      <c r="C3480" s="3">
        <v>92</v>
      </c>
      <c r="D3480" s="47" t="s">
        <v>2401</v>
      </c>
      <c r="E3480" s="47"/>
      <c r="F3480" s="191"/>
      <c r="G3480" s="48"/>
      <c r="H3480" s="48"/>
      <c r="I3480" s="48"/>
      <c r="J3480" s="48"/>
      <c r="K3480" s="48"/>
      <c r="L3480" s="48"/>
      <c r="M3480" s="48"/>
      <c r="N3480" s="48"/>
      <c r="O3480" s="276"/>
    </row>
    <row r="3481" spans="1:23" s="35" customFormat="1" ht="15" customHeight="1">
      <c r="A3481" s="2"/>
      <c r="B3481" s="2"/>
      <c r="C3481" s="3">
        <v>92</v>
      </c>
      <c r="D3481" s="47"/>
      <c r="E3481" s="47"/>
      <c r="F3481" s="191"/>
      <c r="G3481" s="48"/>
      <c r="H3481" s="48"/>
      <c r="I3481" s="48"/>
      <c r="J3481" s="48"/>
      <c r="K3481" s="48"/>
      <c r="L3481" s="48"/>
      <c r="M3481" s="48"/>
      <c r="N3481" s="48"/>
      <c r="O3481" s="276"/>
    </row>
    <row r="3482" spans="1:23" ht="15" customHeight="1">
      <c r="C3482" s="3">
        <v>92</v>
      </c>
      <c r="D3482" s="54" t="s">
        <v>2874</v>
      </c>
      <c r="E3482" s="54"/>
      <c r="F3482" s="192"/>
      <c r="G3482" s="55"/>
      <c r="H3482" s="55"/>
      <c r="I3482" s="55"/>
      <c r="J3482" s="55"/>
      <c r="K3482" s="55">
        <v>1163359.49</v>
      </c>
      <c r="L3482" s="55"/>
      <c r="M3482" s="55">
        <f>K3482</f>
        <v>1163359.49</v>
      </c>
      <c r="N3482" s="55">
        <f>+M3498</f>
        <v>1263491.49</v>
      </c>
      <c r="O3482" s="278"/>
      <c r="P3482" s="203"/>
      <c r="Q3482" s="204"/>
      <c r="R3482" s="205"/>
      <c r="S3482" s="206"/>
      <c r="T3482" s="207"/>
      <c r="U3482" s="207"/>
      <c r="V3482" s="208"/>
      <c r="W3482" s="212"/>
    </row>
    <row r="3483" spans="1:23" s="35" customFormat="1" ht="15" customHeight="1">
      <c r="A3483" s="2"/>
      <c r="B3483" s="2"/>
      <c r="C3483" s="3">
        <v>92</v>
      </c>
      <c r="D3483" s="47"/>
      <c r="E3483" s="47"/>
      <c r="F3483" s="191"/>
      <c r="G3483" s="48"/>
      <c r="H3483" s="48"/>
      <c r="I3483" s="48"/>
      <c r="J3483" s="48"/>
      <c r="K3483" s="48"/>
      <c r="L3483" s="48"/>
      <c r="M3483" s="48"/>
      <c r="N3483" s="48"/>
      <c r="O3483" s="276"/>
    </row>
    <row r="3484" spans="1:23" ht="15" customHeight="1">
      <c r="C3484" s="3">
        <v>92</v>
      </c>
      <c r="D3484" s="47" t="s">
        <v>2238</v>
      </c>
      <c r="G3484" s="26"/>
      <c r="H3484" s="26"/>
      <c r="I3484" s="26"/>
      <c r="J3484" s="26"/>
      <c r="K3484" s="26"/>
      <c r="L3484" s="26"/>
      <c r="M3484" s="26"/>
      <c r="N3484" s="26"/>
      <c r="P3484" s="214">
        <v>2778</v>
      </c>
      <c r="Q3484" s="215">
        <v>92</v>
      </c>
      <c r="R3484" s="216" t="s">
        <v>2610</v>
      </c>
      <c r="S3484" s="217"/>
      <c r="T3484" s="218"/>
      <c r="U3484" s="218"/>
      <c r="V3484" s="219"/>
      <c r="W3484" s="219"/>
    </row>
    <row r="3485" spans="1:23" ht="15" customHeight="1">
      <c r="C3485" s="3">
        <v>92</v>
      </c>
      <c r="G3485" s="26"/>
      <c r="H3485" s="26"/>
      <c r="I3485" s="26"/>
      <c r="J3485" s="26"/>
      <c r="K3485" s="26"/>
      <c r="L3485" s="26"/>
      <c r="M3485" s="26"/>
      <c r="N3485" s="26"/>
      <c r="P3485" s="214">
        <v>2779</v>
      </c>
      <c r="Q3485" s="215">
        <v>92</v>
      </c>
      <c r="R3485" s="216" t="s">
        <v>2611</v>
      </c>
      <c r="S3485" s="217"/>
      <c r="T3485" s="218"/>
      <c r="U3485" s="218"/>
      <c r="V3485" s="219"/>
      <c r="W3485" s="219"/>
    </row>
    <row r="3486" spans="1:23" s="21" customFormat="1" ht="15" customHeight="1">
      <c r="A3486" s="2"/>
      <c r="B3486" s="2" t="s">
        <v>2318</v>
      </c>
      <c r="C3486" s="3">
        <v>92</v>
      </c>
      <c r="D3486" s="54" t="s">
        <v>2214</v>
      </c>
      <c r="E3486" s="54"/>
      <c r="F3486" s="192"/>
      <c r="G3486" s="55">
        <f>+G3488</f>
        <v>757388</v>
      </c>
      <c r="H3486" s="55">
        <f t="shared" ref="H3486:N3486" si="415">+H3488</f>
        <v>767543</v>
      </c>
      <c r="I3486" s="55">
        <f t="shared" si="415"/>
        <v>814569</v>
      </c>
      <c r="J3486" s="55">
        <f t="shared" si="415"/>
        <v>827205</v>
      </c>
      <c r="K3486" s="55">
        <f t="shared" si="415"/>
        <v>879000</v>
      </c>
      <c r="L3486" s="55">
        <f t="shared" si="415"/>
        <v>485965</v>
      </c>
      <c r="M3486" s="55">
        <f t="shared" si="415"/>
        <v>835132</v>
      </c>
      <c r="N3486" s="55">
        <f t="shared" si="415"/>
        <v>835132</v>
      </c>
      <c r="O3486" s="279"/>
      <c r="P3486" s="214">
        <v>2780</v>
      </c>
      <c r="Q3486" s="215">
        <v>92</v>
      </c>
      <c r="R3486" s="216" t="s">
        <v>2612</v>
      </c>
      <c r="S3486" s="217"/>
      <c r="T3486" s="218">
        <v>879000</v>
      </c>
      <c r="U3486" s="218">
        <v>68500.639999999999</v>
      </c>
      <c r="V3486" s="219">
        <v>554464.43000000005</v>
      </c>
      <c r="W3486" s="219">
        <v>63.08</v>
      </c>
    </row>
    <row r="3487" spans="1:23" s="57" customFormat="1" ht="15" customHeight="1">
      <c r="A3487" s="5"/>
      <c r="B3487" s="5"/>
      <c r="C3487" s="3">
        <v>92</v>
      </c>
      <c r="D3487" s="54"/>
      <c r="E3487" s="54"/>
      <c r="F3487" s="192"/>
      <c r="G3487" s="55"/>
      <c r="H3487" s="55"/>
      <c r="I3487" s="55"/>
      <c r="J3487" s="55"/>
      <c r="K3487" s="55"/>
      <c r="L3487" s="55"/>
      <c r="M3487" s="55"/>
      <c r="N3487" s="55"/>
      <c r="O3487" s="302"/>
      <c r="P3487" s="220"/>
      <c r="Q3487" s="220"/>
      <c r="R3487" s="220"/>
      <c r="S3487" s="220"/>
      <c r="T3487" s="220"/>
      <c r="U3487" s="220"/>
      <c r="V3487" s="220"/>
      <c r="W3487" s="220"/>
    </row>
    <row r="3488" spans="1:23" s="27" customFormat="1" ht="15" customHeight="1" thickBot="1">
      <c r="A3488" s="2"/>
      <c r="B3488" s="2" t="s">
        <v>2318</v>
      </c>
      <c r="C3488" s="3">
        <v>92</v>
      </c>
      <c r="D3488" s="68" t="str">
        <f>+D3507</f>
        <v>*** TOTAL FUND 92 REVENUES ***</v>
      </c>
      <c r="E3488" s="68"/>
      <c r="F3488" s="68">
        <f>+F3507</f>
        <v>0</v>
      </c>
      <c r="G3488" s="69">
        <f>+G3507</f>
        <v>757388</v>
      </c>
      <c r="H3488" s="69">
        <f t="shared" ref="H3488:N3488" si="416">+H3507</f>
        <v>767543</v>
      </c>
      <c r="I3488" s="69">
        <f t="shared" si="416"/>
        <v>814569</v>
      </c>
      <c r="J3488" s="69">
        <f t="shared" si="416"/>
        <v>827205</v>
      </c>
      <c r="K3488" s="69">
        <f t="shared" si="416"/>
        <v>879000</v>
      </c>
      <c r="L3488" s="69">
        <f t="shared" si="416"/>
        <v>485965</v>
      </c>
      <c r="M3488" s="69">
        <f t="shared" si="416"/>
        <v>835132</v>
      </c>
      <c r="N3488" s="69">
        <f t="shared" si="416"/>
        <v>835132</v>
      </c>
      <c r="O3488" s="281"/>
      <c r="P3488" s="214">
        <v>2781</v>
      </c>
      <c r="Q3488" s="215">
        <v>92</v>
      </c>
      <c r="R3488" s="216" t="s">
        <v>2613</v>
      </c>
      <c r="S3488" s="217"/>
      <c r="T3488" s="218">
        <v>879000</v>
      </c>
      <c r="U3488" s="218">
        <v>68500.639999999999</v>
      </c>
      <c r="V3488" s="219">
        <v>554464.43000000005</v>
      </c>
      <c r="W3488" s="219">
        <v>63.08</v>
      </c>
    </row>
    <row r="3489" spans="1:23" s="46" customFormat="1" ht="15" customHeight="1" thickTop="1">
      <c r="A3489" s="5"/>
      <c r="B3489" s="5"/>
      <c r="C3489" s="3">
        <v>92</v>
      </c>
      <c r="D3489" s="47"/>
      <c r="E3489" s="47"/>
      <c r="F3489" s="47"/>
      <c r="G3489" s="56"/>
      <c r="H3489" s="56"/>
      <c r="I3489" s="56"/>
      <c r="J3489" s="56"/>
      <c r="K3489" s="56"/>
      <c r="L3489" s="56"/>
      <c r="M3489" s="56"/>
      <c r="N3489" s="56"/>
      <c r="O3489" s="289"/>
      <c r="P3489" s="221"/>
      <c r="Q3489" s="221"/>
      <c r="R3489" s="221"/>
      <c r="S3489" s="221"/>
      <c r="T3489" s="221"/>
      <c r="U3489" s="221"/>
      <c r="V3489" s="221"/>
      <c r="W3489" s="221"/>
    </row>
    <row r="3490" spans="1:23" ht="15" customHeight="1">
      <c r="C3490" s="3">
        <v>92</v>
      </c>
      <c r="D3490" s="47" t="s">
        <v>1977</v>
      </c>
      <c r="G3490" s="26"/>
      <c r="H3490" s="26"/>
      <c r="I3490" s="26"/>
      <c r="J3490" s="26"/>
      <c r="K3490" s="26"/>
      <c r="L3490" s="26"/>
      <c r="M3490" s="26"/>
      <c r="N3490" s="26"/>
      <c r="P3490" s="214">
        <v>2782</v>
      </c>
      <c r="Q3490" s="215">
        <v>92</v>
      </c>
      <c r="R3490" s="216" t="s">
        <v>2614</v>
      </c>
      <c r="S3490" s="217"/>
      <c r="T3490" s="218"/>
      <c r="U3490" s="218"/>
      <c r="V3490" s="219"/>
      <c r="W3490" s="219"/>
    </row>
    <row r="3491" spans="1:23" ht="15" customHeight="1">
      <c r="C3491" s="3">
        <v>92</v>
      </c>
      <c r="G3491" s="26"/>
      <c r="H3491" s="26"/>
      <c r="I3491" s="26"/>
      <c r="J3491" s="26"/>
      <c r="K3491" s="26"/>
      <c r="L3491" s="26"/>
      <c r="M3491" s="26"/>
      <c r="N3491" s="26"/>
      <c r="P3491" s="214">
        <v>2783</v>
      </c>
      <c r="Q3491" s="215">
        <v>92</v>
      </c>
      <c r="R3491" s="216" t="s">
        <v>2615</v>
      </c>
      <c r="S3491" s="217"/>
      <c r="T3491" s="218"/>
      <c r="U3491" s="218"/>
      <c r="V3491" s="219"/>
      <c r="W3491" s="219"/>
    </row>
    <row r="3492" spans="1:23" ht="15" customHeight="1">
      <c r="B3492" s="2" t="s">
        <v>2318</v>
      </c>
      <c r="C3492" s="3">
        <v>92</v>
      </c>
      <c r="D3492" s="47" t="s">
        <v>1667</v>
      </c>
      <c r="G3492" s="26">
        <f>+G3516</f>
        <v>442239</v>
      </c>
      <c r="H3492" s="26">
        <f t="shared" ref="H3492:N3492" si="417">+H3516</f>
        <v>670873</v>
      </c>
      <c r="I3492" s="26">
        <f t="shared" si="417"/>
        <v>755103</v>
      </c>
      <c r="J3492" s="26">
        <f t="shared" si="417"/>
        <v>791719</v>
      </c>
      <c r="K3492" s="26">
        <f t="shared" si="417"/>
        <v>879000</v>
      </c>
      <c r="L3492" s="26">
        <f t="shared" si="417"/>
        <v>436706</v>
      </c>
      <c r="M3492" s="26">
        <f t="shared" si="417"/>
        <v>735000</v>
      </c>
      <c r="N3492" s="26">
        <f t="shared" si="417"/>
        <v>735001</v>
      </c>
      <c r="P3492" s="214">
        <v>2784</v>
      </c>
      <c r="Q3492" s="215">
        <v>92</v>
      </c>
      <c r="R3492" s="216" t="s">
        <v>1667</v>
      </c>
      <c r="S3492" s="217"/>
      <c r="T3492" s="218">
        <v>879000</v>
      </c>
      <c r="U3492" s="218">
        <v>57915.08</v>
      </c>
      <c r="V3492" s="219">
        <v>494621.47</v>
      </c>
      <c r="W3492" s="219">
        <v>56.27</v>
      </c>
    </row>
    <row r="3493" spans="1:23" ht="15" customHeight="1">
      <c r="C3493" s="3">
        <v>92</v>
      </c>
      <c r="D3493" s="47"/>
      <c r="G3493" s="26"/>
      <c r="H3493" s="26"/>
      <c r="I3493" s="26"/>
      <c r="J3493" s="26"/>
      <c r="K3493" s="26"/>
      <c r="L3493" s="26"/>
      <c r="M3493" s="26"/>
      <c r="N3493" s="26"/>
      <c r="P3493" s="222"/>
      <c r="Q3493" s="222"/>
      <c r="R3493" s="222"/>
      <c r="S3493" s="223"/>
      <c r="T3493" s="223"/>
      <c r="U3493" s="223"/>
      <c r="V3493" s="224"/>
      <c r="W3493" s="224"/>
    </row>
    <row r="3494" spans="1:23" s="37" customFormat="1" ht="15" customHeight="1">
      <c r="A3494" s="2"/>
      <c r="B3494" s="2" t="s">
        <v>2318</v>
      </c>
      <c r="C3494" s="3">
        <v>92</v>
      </c>
      <c r="D3494" s="54" t="str">
        <f>+D3518</f>
        <v>*** TOTAL FUND 92 EXPENSES ***</v>
      </c>
      <c r="E3494" s="54"/>
      <c r="F3494" s="54">
        <f t="shared" ref="F3494:N3494" si="418">+F3518</f>
        <v>0</v>
      </c>
      <c r="G3494" s="339">
        <f t="shared" si="418"/>
        <v>442239</v>
      </c>
      <c r="H3494" s="339">
        <f t="shared" si="418"/>
        <v>670873</v>
      </c>
      <c r="I3494" s="339">
        <f t="shared" si="418"/>
        <v>755103</v>
      </c>
      <c r="J3494" s="339">
        <f t="shared" si="418"/>
        <v>791719</v>
      </c>
      <c r="K3494" s="339">
        <f t="shared" si="418"/>
        <v>879000</v>
      </c>
      <c r="L3494" s="339">
        <f t="shared" si="418"/>
        <v>436706</v>
      </c>
      <c r="M3494" s="339">
        <f t="shared" si="418"/>
        <v>735000</v>
      </c>
      <c r="N3494" s="339">
        <f t="shared" si="418"/>
        <v>735001</v>
      </c>
      <c r="O3494" s="303"/>
      <c r="P3494" s="214">
        <v>2785</v>
      </c>
      <c r="Q3494" s="215">
        <v>92</v>
      </c>
      <c r="R3494" s="216" t="s">
        <v>2618</v>
      </c>
      <c r="S3494" s="217"/>
      <c r="T3494" s="218">
        <v>879000</v>
      </c>
      <c r="U3494" s="218">
        <v>57915.08</v>
      </c>
      <c r="V3494" s="219">
        <v>494621.47</v>
      </c>
      <c r="W3494" s="219">
        <v>56.27</v>
      </c>
    </row>
    <row r="3495" spans="1:23" s="46" customFormat="1" ht="15" customHeight="1">
      <c r="A3495" s="5"/>
      <c r="B3495" s="5"/>
      <c r="C3495" s="3">
        <v>92</v>
      </c>
      <c r="D3495" s="47"/>
      <c r="E3495" s="47"/>
      <c r="F3495" s="47"/>
      <c r="G3495" s="56"/>
      <c r="H3495" s="56"/>
      <c r="I3495" s="56"/>
      <c r="J3495" s="56"/>
      <c r="K3495" s="56"/>
      <c r="L3495" s="56"/>
      <c r="M3495" s="56"/>
      <c r="N3495" s="56"/>
      <c r="O3495" s="289"/>
      <c r="P3495" s="221"/>
      <c r="Q3495" s="221"/>
      <c r="R3495" s="221"/>
      <c r="S3495" s="221"/>
      <c r="T3495" s="221"/>
      <c r="U3495" s="221"/>
      <c r="V3495" s="221"/>
      <c r="W3495" s="221"/>
    </row>
    <row r="3496" spans="1:23" s="33" customFormat="1" ht="15" customHeight="1" thickBot="1">
      <c r="A3496" s="2"/>
      <c r="B3496" s="2" t="s">
        <v>2318</v>
      </c>
      <c r="C3496" s="3">
        <v>92</v>
      </c>
      <c r="D3496" s="335" t="str">
        <f>+D3520</f>
        <v>*** FUND 92 REVENUES OVER(UNDER) EXPENSES ***</v>
      </c>
      <c r="E3496" s="336"/>
      <c r="F3496" s="336">
        <f>+F3520</f>
        <v>0</v>
      </c>
      <c r="G3496" s="336">
        <f>+G3520</f>
        <v>315149</v>
      </c>
      <c r="H3496" s="336">
        <f t="shared" ref="H3496:N3496" si="419">+H3520</f>
        <v>96670</v>
      </c>
      <c r="I3496" s="336">
        <f t="shared" si="419"/>
        <v>59466</v>
      </c>
      <c r="J3496" s="336">
        <f t="shared" si="419"/>
        <v>35486</v>
      </c>
      <c r="K3496" s="336">
        <f t="shared" si="419"/>
        <v>0</v>
      </c>
      <c r="L3496" s="336">
        <f t="shared" si="419"/>
        <v>49259</v>
      </c>
      <c r="M3496" s="336">
        <f t="shared" si="419"/>
        <v>100132</v>
      </c>
      <c r="N3496" s="336">
        <f t="shared" si="419"/>
        <v>100131</v>
      </c>
      <c r="O3496" s="301"/>
      <c r="P3496" s="214">
        <v>2786</v>
      </c>
      <c r="Q3496" s="215">
        <v>92</v>
      </c>
      <c r="R3496" s="216" t="s">
        <v>2619</v>
      </c>
      <c r="S3496" s="217"/>
      <c r="T3496" s="218">
        <v>0</v>
      </c>
      <c r="U3496" s="218">
        <v>10585.56</v>
      </c>
      <c r="V3496" s="219">
        <v>59842.96</v>
      </c>
      <c r="W3496" s="219">
        <v>0</v>
      </c>
    </row>
    <row r="3497" spans="1:23" s="46" customFormat="1" ht="15" customHeight="1" thickTop="1">
      <c r="A3497" s="5"/>
      <c r="B3497" s="5"/>
      <c r="C3497" s="3">
        <v>92</v>
      </c>
      <c r="D3497" s="58"/>
      <c r="E3497" s="56"/>
      <c r="F3497" s="56"/>
      <c r="G3497" s="56"/>
      <c r="H3497" s="56"/>
      <c r="I3497" s="56"/>
      <c r="J3497" s="56"/>
      <c r="K3497" s="56"/>
      <c r="L3497" s="56"/>
      <c r="M3497" s="56"/>
      <c r="N3497" s="56"/>
      <c r="O3497" s="289"/>
      <c r="P3497" s="221"/>
      <c r="Q3497" s="221"/>
      <c r="R3497" s="221"/>
      <c r="S3497" s="221"/>
      <c r="T3497" s="221"/>
      <c r="U3497" s="221"/>
      <c r="V3497" s="221"/>
      <c r="W3497" s="221"/>
    </row>
    <row r="3498" spans="1:23" ht="15" customHeight="1">
      <c r="C3498" s="3">
        <v>92</v>
      </c>
      <c r="D3498" s="54" t="s">
        <v>2875</v>
      </c>
      <c r="E3498" s="54"/>
      <c r="F3498" s="192"/>
      <c r="G3498" s="55"/>
      <c r="H3498" s="55"/>
      <c r="I3498" s="55"/>
      <c r="J3498" s="55"/>
      <c r="K3498" s="55">
        <f>+K3482+K3488-K3494</f>
        <v>1163359.49</v>
      </c>
      <c r="L3498" s="55"/>
      <c r="M3498" s="55">
        <f>+M3482+M3488-M3494</f>
        <v>1263491.49</v>
      </c>
      <c r="N3498" s="55">
        <f>+N3482+N3488-N3494</f>
        <v>1363622.4900000002</v>
      </c>
      <c r="O3498" s="253"/>
      <c r="P3498" s="203"/>
      <c r="Q3498" s="204"/>
      <c r="R3498" s="205"/>
      <c r="S3498" s="206"/>
      <c r="T3498" s="207"/>
      <c r="U3498" s="207"/>
      <c r="V3498" s="208"/>
      <c r="W3498" s="212"/>
    </row>
    <row r="3499" spans="1:23" s="46" customFormat="1" ht="15" customHeight="1">
      <c r="A3499" s="195"/>
      <c r="B3499" s="195"/>
      <c r="C3499" s="3">
        <v>92</v>
      </c>
      <c r="D3499" s="58"/>
      <c r="E3499" s="56"/>
      <c r="F3499" s="56"/>
      <c r="G3499" s="56"/>
      <c r="H3499" s="56"/>
      <c r="I3499" s="56"/>
      <c r="J3499" s="56"/>
      <c r="K3499" s="56"/>
      <c r="L3499" s="56"/>
      <c r="M3499" s="26"/>
      <c r="N3499" s="26"/>
      <c r="O3499" s="289"/>
      <c r="P3499" s="221"/>
      <c r="Q3499" s="221"/>
      <c r="R3499" s="221"/>
      <c r="S3499" s="221"/>
      <c r="T3499" s="221"/>
      <c r="U3499" s="221"/>
      <c r="V3499" s="221"/>
      <c r="W3499" s="221"/>
    </row>
    <row r="3500" spans="1:23" ht="15" customHeight="1">
      <c r="C3500" s="3">
        <v>92</v>
      </c>
      <c r="D3500" s="313">
        <v>4130.1000000000004</v>
      </c>
      <c r="E3500" s="312" t="s">
        <v>1940</v>
      </c>
      <c r="G3500" s="26">
        <v>488971</v>
      </c>
      <c r="H3500" s="26">
        <v>485387</v>
      </c>
      <c r="I3500" s="26">
        <v>528662</v>
      </c>
      <c r="J3500" s="26">
        <v>534806</v>
      </c>
      <c r="K3500" s="26">
        <v>575000</v>
      </c>
      <c r="L3500" s="26">
        <v>315195</v>
      </c>
      <c r="M3500" s="26">
        <v>540000</v>
      </c>
      <c r="N3500" s="26">
        <v>540000</v>
      </c>
      <c r="O3500" s="285"/>
      <c r="P3500" s="214">
        <v>2787</v>
      </c>
      <c r="Q3500" s="215">
        <v>92</v>
      </c>
      <c r="R3500" s="216">
        <v>4130.1000000000004</v>
      </c>
      <c r="S3500" s="217" t="s">
        <v>1940</v>
      </c>
      <c r="T3500" s="218">
        <v>575000</v>
      </c>
      <c r="U3500" s="218">
        <v>43838.68</v>
      </c>
      <c r="V3500" s="219">
        <v>359033.24</v>
      </c>
      <c r="W3500" s="219">
        <v>62.44</v>
      </c>
    </row>
    <row r="3501" spans="1:23" ht="15" customHeight="1">
      <c r="C3501" s="3">
        <v>92</v>
      </c>
      <c r="D3501" s="313">
        <v>4130.2</v>
      </c>
      <c r="E3501" s="312" t="s">
        <v>26</v>
      </c>
      <c r="G3501" s="26">
        <v>131430</v>
      </c>
      <c r="H3501" s="26">
        <v>125967</v>
      </c>
      <c r="I3501" s="26">
        <v>131794</v>
      </c>
      <c r="J3501" s="26">
        <v>132071</v>
      </c>
      <c r="K3501" s="26">
        <v>140000</v>
      </c>
      <c r="L3501" s="26">
        <v>74637</v>
      </c>
      <c r="M3501" s="26">
        <v>130000</v>
      </c>
      <c r="N3501" s="26">
        <v>130000</v>
      </c>
      <c r="O3501" s="285"/>
      <c r="P3501" s="214">
        <v>2788</v>
      </c>
      <c r="Q3501" s="215">
        <v>92</v>
      </c>
      <c r="R3501" s="216">
        <v>4130.2</v>
      </c>
      <c r="S3501" s="217" t="s">
        <v>26</v>
      </c>
      <c r="T3501" s="218">
        <v>140000</v>
      </c>
      <c r="U3501" s="218">
        <v>11098.4</v>
      </c>
      <c r="V3501" s="219">
        <v>85735.14</v>
      </c>
      <c r="W3501" s="219">
        <v>61.24</v>
      </c>
    </row>
    <row r="3502" spans="1:23" ht="15" customHeight="1">
      <c r="C3502" s="3">
        <v>92</v>
      </c>
      <c r="D3502" s="313">
        <v>4130.3</v>
      </c>
      <c r="E3502" s="312" t="s">
        <v>1941</v>
      </c>
      <c r="G3502" s="26">
        <v>99843</v>
      </c>
      <c r="H3502" s="26">
        <v>117837</v>
      </c>
      <c r="I3502" s="26">
        <v>113954</v>
      </c>
      <c r="J3502" s="26">
        <v>135113</v>
      </c>
      <c r="K3502" s="26">
        <v>120000</v>
      </c>
      <c r="L3502" s="26">
        <v>81513</v>
      </c>
      <c r="M3502" s="26">
        <v>140000</v>
      </c>
      <c r="N3502" s="26">
        <v>140000</v>
      </c>
      <c r="O3502" s="285"/>
      <c r="P3502" s="214">
        <v>2789</v>
      </c>
      <c r="Q3502" s="215">
        <v>92</v>
      </c>
      <c r="R3502" s="216">
        <v>4130.3</v>
      </c>
      <c r="S3502" s="217" t="s">
        <v>1941</v>
      </c>
      <c r="T3502" s="218">
        <v>120000</v>
      </c>
      <c r="U3502" s="218">
        <v>11429.66</v>
      </c>
      <c r="V3502" s="219">
        <v>92942.3</v>
      </c>
      <c r="W3502" s="219">
        <v>77.45</v>
      </c>
    </row>
    <row r="3503" spans="1:23" ht="15" customHeight="1">
      <c r="C3503" s="3">
        <v>92</v>
      </c>
      <c r="D3503" s="313">
        <v>4130.3999999999996</v>
      </c>
      <c r="E3503" s="312" t="s">
        <v>1942</v>
      </c>
      <c r="G3503" s="26">
        <v>13844</v>
      </c>
      <c r="H3503" s="26">
        <v>12690</v>
      </c>
      <c r="I3503" s="26">
        <v>13844</v>
      </c>
      <c r="J3503" s="26">
        <v>13760</v>
      </c>
      <c r="K3503" s="26">
        <v>14000</v>
      </c>
      <c r="L3503" s="26">
        <v>7960</v>
      </c>
      <c r="M3503" s="26">
        <f>1136*12</f>
        <v>13632</v>
      </c>
      <c r="N3503" s="26">
        <f>1136*12</f>
        <v>13632</v>
      </c>
      <c r="O3503" s="285"/>
      <c r="P3503" s="214">
        <v>2790</v>
      </c>
      <c r="Q3503" s="215">
        <v>92</v>
      </c>
      <c r="R3503" s="216">
        <v>4130.3999999999996</v>
      </c>
      <c r="S3503" s="217" t="s">
        <v>1942</v>
      </c>
      <c r="T3503" s="218">
        <v>14000</v>
      </c>
      <c r="U3503" s="218">
        <v>1135.79</v>
      </c>
      <c r="V3503" s="219">
        <v>9095.5499999999993</v>
      </c>
      <c r="W3503" s="219">
        <v>64.97</v>
      </c>
    </row>
    <row r="3504" spans="1:23" ht="15" customHeight="1">
      <c r="C3504" s="3">
        <v>92</v>
      </c>
      <c r="D3504" s="313">
        <v>4130.93</v>
      </c>
      <c r="E3504" s="312" t="s">
        <v>1943</v>
      </c>
      <c r="G3504" s="26">
        <v>0</v>
      </c>
      <c r="H3504" s="26">
        <v>0</v>
      </c>
      <c r="I3504" s="26">
        <v>0</v>
      </c>
      <c r="J3504" s="26">
        <v>0</v>
      </c>
      <c r="K3504" s="26">
        <v>0</v>
      </c>
      <c r="L3504" s="26">
        <v>0</v>
      </c>
      <c r="M3504" s="26">
        <v>0</v>
      </c>
      <c r="N3504" s="26">
        <v>0</v>
      </c>
      <c r="O3504" s="285"/>
      <c r="P3504" s="214">
        <v>2791</v>
      </c>
      <c r="Q3504" s="215">
        <v>92</v>
      </c>
      <c r="R3504" s="216">
        <v>4130.93</v>
      </c>
      <c r="S3504" s="217" t="s">
        <v>1943</v>
      </c>
      <c r="T3504" s="218">
        <v>0</v>
      </c>
      <c r="U3504" s="218">
        <v>0</v>
      </c>
      <c r="V3504" s="219">
        <v>0</v>
      </c>
      <c r="W3504" s="219">
        <v>0</v>
      </c>
    </row>
    <row r="3505" spans="1:23" ht="15" customHeight="1">
      <c r="C3505" s="3">
        <v>92</v>
      </c>
      <c r="D3505" s="15">
        <v>4330</v>
      </c>
      <c r="E3505" s="312" t="s">
        <v>1669</v>
      </c>
      <c r="G3505" s="26">
        <v>23300</v>
      </c>
      <c r="H3505" s="26">
        <v>25662</v>
      </c>
      <c r="I3505" s="26">
        <v>26315</v>
      </c>
      <c r="J3505" s="26">
        <v>11455</v>
      </c>
      <c r="K3505" s="26">
        <v>30000</v>
      </c>
      <c r="L3505" s="26">
        <v>6660</v>
      </c>
      <c r="M3505" s="26">
        <v>11500</v>
      </c>
      <c r="N3505" s="26">
        <v>11500</v>
      </c>
      <c r="O3505" s="285"/>
      <c r="P3505" s="214">
        <v>2792</v>
      </c>
      <c r="Q3505" s="215">
        <v>92</v>
      </c>
      <c r="R3505" s="216">
        <v>4330</v>
      </c>
      <c r="S3505" s="217" t="s">
        <v>1669</v>
      </c>
      <c r="T3505" s="218">
        <v>30000</v>
      </c>
      <c r="U3505" s="218">
        <v>998.11</v>
      </c>
      <c r="V3505" s="219">
        <v>7658.2</v>
      </c>
      <c r="W3505" s="219">
        <v>25.53</v>
      </c>
    </row>
    <row r="3506" spans="1:23" ht="15" customHeight="1">
      <c r="C3506" s="3">
        <v>92</v>
      </c>
      <c r="E3506" s="14"/>
      <c r="G3506" s="26"/>
      <c r="H3506" s="26"/>
      <c r="I3506" s="26"/>
      <c r="J3506" s="26"/>
      <c r="K3506" s="26"/>
      <c r="L3506" s="26"/>
      <c r="M3506" s="26"/>
      <c r="N3506" s="26"/>
      <c r="P3506" s="222"/>
      <c r="Q3506" s="222"/>
      <c r="R3506" s="222"/>
      <c r="S3506" s="223"/>
      <c r="T3506" s="223"/>
      <c r="U3506" s="223"/>
      <c r="V3506" s="224"/>
      <c r="W3506" s="224"/>
    </row>
    <row r="3507" spans="1:23" s="27" customFormat="1" ht="15" customHeight="1" thickBot="1">
      <c r="A3507" s="2"/>
      <c r="B3507" s="2" t="s">
        <v>2317</v>
      </c>
      <c r="C3507" s="3">
        <v>92</v>
      </c>
      <c r="D3507" s="68" t="s">
        <v>2312</v>
      </c>
      <c r="E3507" s="68"/>
      <c r="F3507" s="320"/>
      <c r="G3507" s="69">
        <f>SUM(G3499:G3506)</f>
        <v>757388</v>
      </c>
      <c r="H3507" s="69">
        <f t="shared" ref="H3507:N3507" si="420">SUM(H3499:H3506)</f>
        <v>767543</v>
      </c>
      <c r="I3507" s="69">
        <f t="shared" si="420"/>
        <v>814569</v>
      </c>
      <c r="J3507" s="69">
        <f t="shared" si="420"/>
        <v>827205</v>
      </c>
      <c r="K3507" s="69">
        <f t="shared" si="420"/>
        <v>879000</v>
      </c>
      <c r="L3507" s="69">
        <f t="shared" si="420"/>
        <v>485965</v>
      </c>
      <c r="M3507" s="69">
        <f t="shared" si="420"/>
        <v>835132</v>
      </c>
      <c r="N3507" s="69">
        <f t="shared" si="420"/>
        <v>835132</v>
      </c>
      <c r="O3507" s="281"/>
      <c r="P3507" s="214">
        <v>2793</v>
      </c>
      <c r="Q3507" s="215">
        <v>92</v>
      </c>
      <c r="R3507" s="216" t="s">
        <v>2620</v>
      </c>
      <c r="S3507" s="217"/>
      <c r="T3507" s="218">
        <v>879000</v>
      </c>
      <c r="U3507" s="218">
        <v>68500.639999999999</v>
      </c>
      <c r="V3507" s="219">
        <v>554464.43000000005</v>
      </c>
      <c r="W3507" s="219">
        <v>63.08</v>
      </c>
    </row>
    <row r="3508" spans="1:23" s="46" customFormat="1" ht="15" customHeight="1" thickTop="1">
      <c r="A3508" s="5"/>
      <c r="B3508" s="5"/>
      <c r="C3508" s="3">
        <v>92</v>
      </c>
      <c r="D3508" s="47"/>
      <c r="E3508" s="47"/>
      <c r="F3508" s="191"/>
      <c r="G3508" s="56"/>
      <c r="H3508" s="56"/>
      <c r="I3508" s="56"/>
      <c r="J3508" s="56"/>
      <c r="K3508" s="56"/>
      <c r="L3508" s="56"/>
      <c r="M3508" s="56"/>
      <c r="N3508" s="56"/>
      <c r="O3508" s="289"/>
      <c r="P3508" s="221"/>
      <c r="Q3508" s="221"/>
      <c r="R3508" s="221"/>
      <c r="S3508" s="221"/>
      <c r="T3508" s="221"/>
      <c r="U3508" s="221"/>
      <c r="V3508" s="221"/>
      <c r="W3508" s="221"/>
    </row>
    <row r="3509" spans="1:23" ht="15" customHeight="1">
      <c r="C3509" s="3">
        <v>92</v>
      </c>
      <c r="D3509" s="47" t="s">
        <v>1973</v>
      </c>
      <c r="G3509" s="26"/>
      <c r="H3509" s="26"/>
      <c r="I3509" s="26"/>
      <c r="J3509" s="26"/>
      <c r="K3509" s="26"/>
      <c r="L3509" s="26"/>
      <c r="M3509" s="26"/>
      <c r="N3509" s="26"/>
      <c r="P3509" s="214">
        <v>2794</v>
      </c>
      <c r="Q3509" s="215">
        <v>92</v>
      </c>
      <c r="R3509" s="216" t="s">
        <v>135</v>
      </c>
      <c r="S3509" s="217"/>
      <c r="T3509" s="218"/>
      <c r="U3509" s="218"/>
      <c r="V3509" s="219"/>
      <c r="W3509" s="219"/>
    </row>
    <row r="3510" spans="1:23" ht="15" customHeight="1">
      <c r="C3510" s="3">
        <v>92</v>
      </c>
      <c r="G3510" s="26"/>
      <c r="H3510" s="26"/>
      <c r="I3510" s="26"/>
      <c r="J3510" s="26"/>
      <c r="K3510" s="26"/>
      <c r="L3510" s="26"/>
      <c r="M3510" s="26"/>
      <c r="N3510" s="26"/>
      <c r="P3510" s="214">
        <v>2795</v>
      </c>
      <c r="Q3510" s="215">
        <v>92</v>
      </c>
      <c r="R3510" s="216" t="s">
        <v>2626</v>
      </c>
      <c r="S3510" s="217"/>
      <c r="T3510" s="218"/>
      <c r="U3510" s="218"/>
      <c r="V3510" s="219"/>
      <c r="W3510" s="219"/>
    </row>
    <row r="3511" spans="1:23" ht="15" customHeight="1">
      <c r="C3511" s="3">
        <v>92</v>
      </c>
      <c r="D3511" s="15" t="s">
        <v>1944</v>
      </c>
      <c r="E3511" s="312" t="s">
        <v>1945</v>
      </c>
      <c r="G3511" s="26">
        <v>442389</v>
      </c>
      <c r="H3511" s="26">
        <v>670873</v>
      </c>
      <c r="I3511" s="26">
        <v>755583</v>
      </c>
      <c r="J3511" s="26">
        <v>791719</v>
      </c>
      <c r="K3511" s="26">
        <v>879000</v>
      </c>
      <c r="L3511" s="26">
        <v>436706</v>
      </c>
      <c r="M3511" s="26">
        <v>735000</v>
      </c>
      <c r="N3511" s="26">
        <v>735000</v>
      </c>
      <c r="O3511" s="285"/>
      <c r="P3511" s="214">
        <v>2796</v>
      </c>
      <c r="Q3511" s="215">
        <v>92</v>
      </c>
      <c r="R3511" s="216" t="s">
        <v>1944</v>
      </c>
      <c r="S3511" s="217" t="s">
        <v>1945</v>
      </c>
      <c r="T3511" s="218">
        <v>879000</v>
      </c>
      <c r="U3511" s="218">
        <v>57915.08</v>
      </c>
      <c r="V3511" s="219">
        <v>494621.47</v>
      </c>
      <c r="W3511" s="219">
        <v>56.27</v>
      </c>
    </row>
    <row r="3512" spans="1:23" ht="15" customHeight="1">
      <c r="C3512" s="3">
        <v>92</v>
      </c>
      <c r="D3512" s="15" t="s">
        <v>1946</v>
      </c>
      <c r="E3512" s="312" t="s">
        <v>1947</v>
      </c>
      <c r="G3512" s="26">
        <v>-150</v>
      </c>
      <c r="H3512" s="26">
        <v>0</v>
      </c>
      <c r="I3512" s="26">
        <v>-480</v>
      </c>
      <c r="J3512" s="26">
        <v>0</v>
      </c>
      <c r="K3512" s="26">
        <v>0</v>
      </c>
      <c r="L3512" s="26">
        <v>0</v>
      </c>
      <c r="M3512" s="26">
        <v>0</v>
      </c>
      <c r="N3512" s="26">
        <v>1</v>
      </c>
      <c r="O3512" s="285"/>
      <c r="P3512" s="214">
        <v>2797</v>
      </c>
      <c r="Q3512" s="215">
        <v>92</v>
      </c>
      <c r="R3512" s="216" t="s">
        <v>1946</v>
      </c>
      <c r="S3512" s="217" t="s">
        <v>1947</v>
      </c>
      <c r="T3512" s="218">
        <v>0</v>
      </c>
      <c r="U3512" s="218">
        <v>0</v>
      </c>
      <c r="V3512" s="219">
        <v>0</v>
      </c>
      <c r="W3512" s="219">
        <v>0</v>
      </c>
    </row>
    <row r="3513" spans="1:23" ht="15" customHeight="1">
      <c r="C3513" s="3">
        <v>92</v>
      </c>
      <c r="G3513" s="26"/>
      <c r="H3513" s="26"/>
      <c r="I3513" s="26"/>
      <c r="J3513" s="26"/>
      <c r="K3513" s="26"/>
      <c r="L3513" s="26"/>
      <c r="M3513" s="26"/>
      <c r="N3513" s="26"/>
      <c r="P3513" s="214">
        <v>2798</v>
      </c>
      <c r="Q3513" s="215">
        <v>92</v>
      </c>
      <c r="R3513" s="216" t="s">
        <v>2623</v>
      </c>
      <c r="S3513" s="217"/>
      <c r="T3513" s="218"/>
      <c r="U3513" s="218"/>
      <c r="V3513" s="219"/>
      <c r="W3513" s="219"/>
    </row>
    <row r="3514" spans="1:23" s="22" customFormat="1" ht="15" customHeight="1">
      <c r="A3514" s="2" t="s">
        <v>135</v>
      </c>
      <c r="B3514" s="2" t="s">
        <v>2317</v>
      </c>
      <c r="C3514" s="3">
        <v>92</v>
      </c>
      <c r="D3514" s="323" t="s">
        <v>1970</v>
      </c>
      <c r="E3514" s="323"/>
      <c r="F3514" s="324"/>
      <c r="G3514" s="325">
        <f>SUM(G3509:G3513)</f>
        <v>442239</v>
      </c>
      <c r="H3514" s="325">
        <f t="shared" ref="H3514:N3514" si="421">SUM(H3509:H3513)</f>
        <v>670873</v>
      </c>
      <c r="I3514" s="325">
        <f t="shared" si="421"/>
        <v>755103</v>
      </c>
      <c r="J3514" s="325">
        <f t="shared" si="421"/>
        <v>791719</v>
      </c>
      <c r="K3514" s="325">
        <f t="shared" si="421"/>
        <v>879000</v>
      </c>
      <c r="L3514" s="325">
        <f t="shared" si="421"/>
        <v>436706</v>
      </c>
      <c r="M3514" s="325">
        <f t="shared" si="421"/>
        <v>735000</v>
      </c>
      <c r="N3514" s="325">
        <f t="shared" si="421"/>
        <v>735001</v>
      </c>
      <c r="O3514" s="290"/>
      <c r="P3514" s="214">
        <v>2799</v>
      </c>
      <c r="Q3514" s="215">
        <v>92</v>
      </c>
      <c r="R3514" s="216" t="s">
        <v>135</v>
      </c>
      <c r="S3514" s="217"/>
      <c r="T3514" s="218">
        <v>879000</v>
      </c>
      <c r="U3514" s="218">
        <v>57915.08</v>
      </c>
      <c r="V3514" s="219">
        <v>494621.47</v>
      </c>
      <c r="W3514" s="219">
        <v>0</v>
      </c>
    </row>
    <row r="3515" spans="1:23" ht="15" customHeight="1">
      <c r="C3515" s="3">
        <v>92</v>
      </c>
      <c r="G3515" s="26"/>
      <c r="H3515" s="26"/>
      <c r="I3515" s="26"/>
      <c r="J3515" s="26"/>
      <c r="K3515" s="26"/>
      <c r="L3515" s="26"/>
      <c r="M3515" s="26"/>
      <c r="N3515" s="26"/>
      <c r="P3515" s="214">
        <v>2800</v>
      </c>
      <c r="Q3515" s="215">
        <v>92</v>
      </c>
      <c r="R3515" s="216" t="s">
        <v>2623</v>
      </c>
      <c r="S3515" s="217"/>
      <c r="T3515" s="218"/>
      <c r="U3515" s="218"/>
      <c r="V3515" s="219"/>
      <c r="W3515" s="219"/>
    </row>
    <row r="3516" spans="1:23" ht="15" customHeight="1">
      <c r="B3516" s="2" t="s">
        <v>2317</v>
      </c>
      <c r="C3516" s="3">
        <v>92</v>
      </c>
      <c r="D3516" s="47" t="s">
        <v>1667</v>
      </c>
      <c r="G3516" s="26">
        <f>SUM(G3514:G3515)</f>
        <v>442239</v>
      </c>
      <c r="H3516" s="26">
        <f t="shared" ref="H3516:N3516" si="422">SUM(H3514:H3515)</f>
        <v>670873</v>
      </c>
      <c r="I3516" s="26">
        <f t="shared" si="422"/>
        <v>755103</v>
      </c>
      <c r="J3516" s="26">
        <f t="shared" si="422"/>
        <v>791719</v>
      </c>
      <c r="K3516" s="26">
        <f t="shared" si="422"/>
        <v>879000</v>
      </c>
      <c r="L3516" s="26">
        <f t="shared" si="422"/>
        <v>436706</v>
      </c>
      <c r="M3516" s="26">
        <f t="shared" si="422"/>
        <v>735000</v>
      </c>
      <c r="N3516" s="26">
        <f t="shared" si="422"/>
        <v>735001</v>
      </c>
      <c r="P3516" s="214">
        <v>2801</v>
      </c>
      <c r="Q3516" s="215">
        <v>92</v>
      </c>
      <c r="R3516" s="216" t="s">
        <v>1667</v>
      </c>
      <c r="S3516" s="217"/>
      <c r="T3516" s="218">
        <v>879000</v>
      </c>
      <c r="U3516" s="218">
        <v>57915.08</v>
      </c>
      <c r="V3516" s="219">
        <v>494621.47</v>
      </c>
      <c r="W3516" s="219">
        <v>56.27</v>
      </c>
    </row>
    <row r="3517" spans="1:23" ht="15" customHeight="1">
      <c r="C3517" s="3">
        <v>92</v>
      </c>
      <c r="D3517" s="47"/>
      <c r="G3517" s="26"/>
      <c r="H3517" s="26"/>
      <c r="I3517" s="26"/>
      <c r="J3517" s="26"/>
      <c r="K3517" s="26"/>
      <c r="L3517" s="26"/>
      <c r="M3517" s="26"/>
      <c r="N3517" s="26"/>
      <c r="P3517" s="222"/>
      <c r="Q3517" s="222"/>
      <c r="R3517" s="222"/>
      <c r="S3517" s="223"/>
      <c r="T3517" s="223"/>
      <c r="U3517" s="223"/>
      <c r="V3517" s="224"/>
      <c r="W3517" s="224"/>
    </row>
    <row r="3518" spans="1:23" s="31" customFormat="1" ht="15" customHeight="1">
      <c r="A3518" s="2"/>
      <c r="B3518" s="2" t="s">
        <v>2317</v>
      </c>
      <c r="C3518" s="3">
        <v>92</v>
      </c>
      <c r="D3518" s="54" t="s">
        <v>2289</v>
      </c>
      <c r="E3518" s="54"/>
      <c r="F3518" s="192"/>
      <c r="G3518" s="339">
        <f>SUM(G3516:G3517)</f>
        <v>442239</v>
      </c>
      <c r="H3518" s="339">
        <f t="shared" ref="H3518:N3518" si="423">SUM(H3516:H3517)</f>
        <v>670873</v>
      </c>
      <c r="I3518" s="339">
        <f t="shared" si="423"/>
        <v>755103</v>
      </c>
      <c r="J3518" s="339">
        <f t="shared" si="423"/>
        <v>791719</v>
      </c>
      <c r="K3518" s="339">
        <f t="shared" si="423"/>
        <v>879000</v>
      </c>
      <c r="L3518" s="339">
        <f t="shared" si="423"/>
        <v>436706</v>
      </c>
      <c r="M3518" s="339">
        <f t="shared" si="423"/>
        <v>735000</v>
      </c>
      <c r="N3518" s="339">
        <f t="shared" si="423"/>
        <v>735001</v>
      </c>
      <c r="O3518" s="305"/>
      <c r="P3518" s="214">
        <v>2802</v>
      </c>
      <c r="Q3518" s="215">
        <v>92</v>
      </c>
      <c r="R3518" s="216" t="s">
        <v>2618</v>
      </c>
      <c r="S3518" s="217"/>
      <c r="T3518" s="218">
        <v>879000</v>
      </c>
      <c r="U3518" s="218">
        <v>57915.08</v>
      </c>
      <c r="V3518" s="219">
        <v>494621.47</v>
      </c>
      <c r="W3518" s="219">
        <v>56.27</v>
      </c>
    </row>
    <row r="3519" spans="1:23" s="46" customFormat="1" ht="15" customHeight="1">
      <c r="A3519" s="5"/>
      <c r="B3519" s="5"/>
      <c r="C3519" s="3">
        <v>92</v>
      </c>
      <c r="D3519" s="47"/>
      <c r="E3519" s="47"/>
      <c r="F3519" s="191"/>
      <c r="G3519" s="56"/>
      <c r="H3519" s="56"/>
      <c r="I3519" s="56"/>
      <c r="J3519" s="56"/>
      <c r="K3519" s="56"/>
      <c r="L3519" s="56"/>
      <c r="M3519" s="56"/>
      <c r="N3519" s="56"/>
      <c r="O3519" s="289"/>
      <c r="P3519" s="221"/>
      <c r="Q3519" s="221"/>
      <c r="R3519" s="221"/>
      <c r="S3519" s="221"/>
      <c r="T3519" s="221"/>
      <c r="U3519" s="221"/>
      <c r="V3519" s="221"/>
      <c r="W3519" s="221"/>
    </row>
    <row r="3520" spans="1:23" s="33" customFormat="1" ht="15" customHeight="1" thickBot="1">
      <c r="A3520" s="2"/>
      <c r="B3520" s="2" t="s">
        <v>2317</v>
      </c>
      <c r="C3520" s="3">
        <v>92</v>
      </c>
      <c r="D3520" s="329" t="s">
        <v>2264</v>
      </c>
      <c r="E3520" s="329"/>
      <c r="F3520" s="330"/>
      <c r="G3520" s="336">
        <f>+G3507-G3518</f>
        <v>315149</v>
      </c>
      <c r="H3520" s="336">
        <f t="shared" ref="H3520:N3520" si="424">+H3507-H3518</f>
        <v>96670</v>
      </c>
      <c r="I3520" s="336">
        <f t="shared" si="424"/>
        <v>59466</v>
      </c>
      <c r="J3520" s="336">
        <f t="shared" si="424"/>
        <v>35486</v>
      </c>
      <c r="K3520" s="336">
        <f t="shared" si="424"/>
        <v>0</v>
      </c>
      <c r="L3520" s="336">
        <f t="shared" si="424"/>
        <v>49259</v>
      </c>
      <c r="M3520" s="336">
        <f t="shared" si="424"/>
        <v>100132</v>
      </c>
      <c r="N3520" s="336">
        <f t="shared" si="424"/>
        <v>100131</v>
      </c>
      <c r="O3520" s="301"/>
      <c r="P3520" s="214">
        <v>2803</v>
      </c>
      <c r="Q3520" s="215">
        <v>92</v>
      </c>
      <c r="R3520" s="216" t="s">
        <v>2619</v>
      </c>
      <c r="S3520" s="217"/>
      <c r="T3520" s="218">
        <v>0</v>
      </c>
      <c r="U3520" s="218">
        <v>10585.56</v>
      </c>
      <c r="V3520" s="219">
        <v>59842.96</v>
      </c>
      <c r="W3520" s="219">
        <v>0</v>
      </c>
    </row>
    <row r="3521" spans="1:23" s="46" customFormat="1" ht="15" customHeight="1" thickTop="1">
      <c r="A3521" s="5"/>
      <c r="B3521" s="5"/>
      <c r="C3521" s="3">
        <v>92</v>
      </c>
      <c r="D3521" s="47"/>
      <c r="E3521" s="47"/>
      <c r="F3521" s="191"/>
      <c r="G3521" s="56"/>
      <c r="H3521" s="56"/>
      <c r="I3521" s="56"/>
      <c r="J3521" s="56"/>
      <c r="K3521" s="56"/>
      <c r="L3521" s="56"/>
      <c r="M3521" s="56"/>
      <c r="N3521" s="56"/>
      <c r="O3521" s="289"/>
      <c r="P3521" s="221"/>
      <c r="Q3521" s="221"/>
      <c r="R3521" s="221"/>
      <c r="S3521" s="221"/>
      <c r="T3521" s="221"/>
      <c r="U3521" s="221"/>
      <c r="V3521" s="221"/>
      <c r="W3521" s="221"/>
    </row>
    <row r="3522" spans="1:23" ht="15" customHeight="1">
      <c r="C3522" s="3">
        <v>92</v>
      </c>
      <c r="D3522" s="54" t="s">
        <v>2875</v>
      </c>
      <c r="E3522" s="54"/>
      <c r="F3522" s="192"/>
      <c r="G3522" s="55"/>
      <c r="H3522" s="55"/>
      <c r="I3522" s="55"/>
      <c r="J3522" s="55"/>
      <c r="K3522" s="55">
        <f>+K3498</f>
        <v>1163359.49</v>
      </c>
      <c r="L3522" s="55"/>
      <c r="M3522" s="55">
        <f>+M3498</f>
        <v>1263491.49</v>
      </c>
      <c r="N3522" s="55">
        <f>+N3498</f>
        <v>1363622.4900000002</v>
      </c>
      <c r="O3522" s="253"/>
      <c r="P3522" s="203"/>
      <c r="Q3522" s="204"/>
      <c r="R3522" s="205"/>
      <c r="S3522" s="206"/>
      <c r="T3522" s="207"/>
      <c r="U3522" s="207"/>
      <c r="V3522" s="208"/>
      <c r="W3522" s="212"/>
    </row>
    <row r="3523" spans="1:23" s="46" customFormat="1" ht="15" customHeight="1">
      <c r="A3523" s="195"/>
      <c r="B3523" s="195"/>
      <c r="C3523" s="3">
        <v>92</v>
      </c>
      <c r="D3523" s="47"/>
      <c r="E3523" s="47"/>
      <c r="F3523" s="191"/>
      <c r="G3523" s="56"/>
      <c r="H3523" s="56"/>
      <c r="I3523" s="56"/>
      <c r="J3523" s="56"/>
      <c r="K3523" s="56"/>
      <c r="L3523" s="56"/>
      <c r="M3523" s="56"/>
      <c r="N3523" s="56"/>
      <c r="O3523" s="289"/>
      <c r="P3523" s="221"/>
      <c r="Q3523" s="221"/>
      <c r="R3523" s="221"/>
      <c r="S3523" s="221"/>
      <c r="T3523" s="221"/>
      <c r="U3523" s="221"/>
      <c r="V3523" s="221"/>
      <c r="W3523" s="221"/>
    </row>
    <row r="3524" spans="1:23" s="35" customFormat="1" ht="15" customHeight="1">
      <c r="A3524" s="2"/>
      <c r="B3524" s="2"/>
      <c r="C3524" s="3">
        <v>92</v>
      </c>
      <c r="D3524" s="47" t="s">
        <v>1976</v>
      </c>
      <c r="E3524" s="47"/>
      <c r="F3524" s="191"/>
      <c r="G3524" s="48"/>
      <c r="H3524" s="48"/>
      <c r="I3524" s="48"/>
      <c r="J3524" s="48"/>
      <c r="K3524" s="48"/>
      <c r="L3524" s="48"/>
      <c r="M3524" s="48"/>
      <c r="N3524" s="48"/>
      <c r="O3524" s="276"/>
      <c r="P3524" s="214">
        <v>2804</v>
      </c>
      <c r="Q3524" s="215">
        <v>92</v>
      </c>
      <c r="R3524" s="216" t="s">
        <v>2630</v>
      </c>
      <c r="S3524" s="217"/>
      <c r="T3524" s="218"/>
      <c r="U3524" s="218"/>
      <c r="V3524" s="219"/>
      <c r="W3524" s="219"/>
    </row>
    <row r="3525" spans="1:23" s="35" customFormat="1" ht="15" customHeight="1">
      <c r="A3525" s="2"/>
      <c r="B3525" s="2"/>
      <c r="C3525" s="3"/>
      <c r="D3525" s="47"/>
      <c r="E3525" s="47"/>
      <c r="F3525" s="191"/>
      <c r="G3525" s="48"/>
      <c r="H3525" s="48"/>
      <c r="I3525" s="48"/>
      <c r="J3525" s="48"/>
      <c r="K3525" s="48"/>
      <c r="L3525" s="48"/>
      <c r="M3525" s="48"/>
      <c r="N3525" s="48"/>
      <c r="O3525" s="276"/>
      <c r="P3525" s="36"/>
      <c r="Q3525" s="36"/>
    </row>
    <row r="3526" spans="1:23" s="35" customFormat="1" ht="15" customHeight="1">
      <c r="A3526" s="2"/>
      <c r="B3526" s="2"/>
      <c r="C3526" s="3"/>
      <c r="D3526" s="47"/>
      <c r="E3526" s="47"/>
      <c r="F3526" s="191"/>
      <c r="G3526" s="48"/>
      <c r="H3526" s="48"/>
      <c r="I3526" s="48"/>
      <c r="J3526" s="48"/>
      <c r="K3526" s="48"/>
      <c r="L3526" s="48"/>
      <c r="M3526" s="48"/>
      <c r="N3526" s="48"/>
      <c r="O3526" s="276"/>
      <c r="P3526" s="36"/>
      <c r="Q3526" s="36"/>
    </row>
    <row r="3527" spans="1:23" s="35" customFormat="1" ht="15" customHeight="1">
      <c r="A3527" s="2"/>
      <c r="B3527" s="2"/>
      <c r="C3527" s="3"/>
      <c r="D3527" s="47"/>
      <c r="E3527" s="47"/>
      <c r="F3527" s="191"/>
      <c r="G3527" s="48"/>
      <c r="H3527" s="48"/>
      <c r="I3527" s="48"/>
      <c r="J3527" s="48"/>
      <c r="K3527" s="48"/>
      <c r="L3527" s="48"/>
      <c r="M3527" s="48"/>
      <c r="N3527" s="48"/>
      <c r="O3527" s="276"/>
      <c r="P3527" s="36"/>
      <c r="Q3527" s="36"/>
    </row>
    <row r="3528" spans="1:23" s="35" customFormat="1" ht="15" customHeight="1">
      <c r="A3528" s="2"/>
      <c r="B3528" s="2"/>
      <c r="C3528" s="3">
        <v>93</v>
      </c>
      <c r="D3528" s="47" t="s">
        <v>2402</v>
      </c>
      <c r="E3528" s="47"/>
      <c r="F3528" s="191"/>
      <c r="G3528" s="48"/>
      <c r="H3528" s="48"/>
      <c r="I3528" s="48"/>
      <c r="J3528" s="48"/>
      <c r="K3528" s="48"/>
      <c r="L3528" s="48"/>
      <c r="M3528" s="48"/>
      <c r="N3528" s="48"/>
      <c r="O3528" s="276"/>
    </row>
    <row r="3529" spans="1:23" s="35" customFormat="1" ht="15" customHeight="1">
      <c r="A3529" s="2"/>
      <c r="B3529" s="2"/>
      <c r="C3529" s="3">
        <v>93</v>
      </c>
      <c r="D3529" s="47"/>
      <c r="E3529" s="47"/>
      <c r="F3529" s="191"/>
      <c r="G3529" s="48"/>
      <c r="H3529" s="48"/>
      <c r="I3529" s="48"/>
      <c r="J3529" s="48"/>
      <c r="K3529" s="48"/>
      <c r="L3529" s="48"/>
      <c r="M3529" s="48"/>
      <c r="N3529" s="48"/>
      <c r="O3529" s="276"/>
    </row>
    <row r="3530" spans="1:23" ht="15" customHeight="1">
      <c r="C3530" s="3">
        <v>93</v>
      </c>
      <c r="D3530" s="54" t="s">
        <v>2874</v>
      </c>
      <c r="E3530" s="54"/>
      <c r="F3530" s="192"/>
      <c r="G3530" s="55"/>
      <c r="H3530" s="55"/>
      <c r="I3530" s="55"/>
      <c r="J3530" s="55"/>
      <c r="K3530" s="55">
        <v>180682.32</v>
      </c>
      <c r="L3530" s="55"/>
      <c r="M3530" s="55">
        <f>K3530</f>
        <v>180682.32</v>
      </c>
      <c r="N3530" s="55">
        <f>+M3546</f>
        <v>126182.32</v>
      </c>
      <c r="O3530" s="278"/>
      <c r="P3530" s="203"/>
      <c r="Q3530" s="204"/>
      <c r="R3530" s="205"/>
      <c r="S3530" s="206"/>
      <c r="T3530" s="207"/>
      <c r="U3530" s="207"/>
      <c r="V3530" s="208"/>
      <c r="W3530" s="212"/>
    </row>
    <row r="3531" spans="1:23" s="35" customFormat="1" ht="15" customHeight="1">
      <c r="A3531" s="2"/>
      <c r="B3531" s="2"/>
      <c r="C3531" s="3">
        <v>93</v>
      </c>
      <c r="D3531" s="47"/>
      <c r="E3531" s="47"/>
      <c r="F3531" s="191"/>
      <c r="G3531" s="48"/>
      <c r="H3531" s="48"/>
      <c r="I3531" s="48"/>
      <c r="J3531" s="48"/>
      <c r="K3531" s="48"/>
      <c r="L3531" s="48"/>
      <c r="M3531" s="48"/>
      <c r="N3531" s="48"/>
      <c r="O3531" s="276"/>
    </row>
    <row r="3532" spans="1:23" ht="15" customHeight="1">
      <c r="C3532" s="3">
        <v>93</v>
      </c>
      <c r="D3532" s="47" t="s">
        <v>2239</v>
      </c>
      <c r="G3532" s="26"/>
      <c r="H3532" s="26"/>
      <c r="I3532" s="26"/>
      <c r="J3532" s="26"/>
      <c r="K3532" s="26"/>
      <c r="L3532" s="26"/>
      <c r="M3532" s="26"/>
      <c r="N3532" s="26"/>
      <c r="P3532" s="214">
        <v>2805</v>
      </c>
      <c r="Q3532" s="215">
        <v>93</v>
      </c>
      <c r="R3532" s="216" t="s">
        <v>2610</v>
      </c>
      <c r="S3532" s="217"/>
      <c r="T3532" s="218"/>
      <c r="U3532" s="218"/>
      <c r="V3532" s="219"/>
      <c r="W3532" s="219"/>
    </row>
    <row r="3533" spans="1:23" ht="15" customHeight="1">
      <c r="C3533" s="3">
        <v>93</v>
      </c>
      <c r="G3533" s="26"/>
      <c r="H3533" s="26"/>
      <c r="I3533" s="26"/>
      <c r="J3533" s="26"/>
      <c r="K3533" s="26"/>
      <c r="L3533" s="26"/>
      <c r="M3533" s="26"/>
      <c r="N3533" s="26"/>
      <c r="P3533" s="214">
        <v>2806</v>
      </c>
      <c r="Q3533" s="215">
        <v>93</v>
      </c>
      <c r="R3533" s="216" t="s">
        <v>2611</v>
      </c>
      <c r="S3533" s="217"/>
      <c r="T3533" s="218"/>
      <c r="U3533" s="218"/>
      <c r="V3533" s="219"/>
      <c r="W3533" s="219"/>
    </row>
    <row r="3534" spans="1:23" s="21" customFormat="1" ht="15" customHeight="1">
      <c r="A3534" s="2"/>
      <c r="B3534" s="2" t="s">
        <v>2318</v>
      </c>
      <c r="C3534" s="3">
        <v>93</v>
      </c>
      <c r="D3534" s="54" t="s">
        <v>2215</v>
      </c>
      <c r="E3534" s="54"/>
      <c r="F3534" s="192"/>
      <c r="G3534" s="55">
        <f>+G3536</f>
        <v>10259</v>
      </c>
      <c r="H3534" s="55">
        <f t="shared" ref="H3534:N3534" si="425">+H3536</f>
        <v>7512</v>
      </c>
      <c r="I3534" s="55">
        <f t="shared" si="425"/>
        <v>6120</v>
      </c>
      <c r="J3534" s="55">
        <f t="shared" si="425"/>
        <v>2051</v>
      </c>
      <c r="K3534" s="55">
        <f t="shared" si="425"/>
        <v>2500</v>
      </c>
      <c r="L3534" s="55">
        <f t="shared" si="425"/>
        <v>909</v>
      </c>
      <c r="M3534" s="55">
        <f t="shared" si="425"/>
        <v>1500</v>
      </c>
      <c r="N3534" s="55">
        <f t="shared" si="425"/>
        <v>1500</v>
      </c>
      <c r="O3534" s="279"/>
      <c r="P3534" s="214">
        <v>2807</v>
      </c>
      <c r="Q3534" s="215">
        <v>93</v>
      </c>
      <c r="R3534" s="216" t="s">
        <v>2612</v>
      </c>
      <c r="S3534" s="217"/>
      <c r="T3534" s="218">
        <v>2500</v>
      </c>
      <c r="U3534" s="218">
        <v>119.44</v>
      </c>
      <c r="V3534" s="219">
        <v>1028.53</v>
      </c>
      <c r="W3534" s="219">
        <v>41.14</v>
      </c>
    </row>
    <row r="3535" spans="1:23" s="57" customFormat="1" ht="15" customHeight="1">
      <c r="A3535" s="5"/>
      <c r="B3535" s="5"/>
      <c r="C3535" s="3">
        <v>93</v>
      </c>
      <c r="D3535" s="54"/>
      <c r="E3535" s="54"/>
      <c r="F3535" s="192"/>
      <c r="G3535" s="55"/>
      <c r="H3535" s="55"/>
      <c r="I3535" s="55"/>
      <c r="J3535" s="55"/>
      <c r="K3535" s="55"/>
      <c r="L3535" s="55"/>
      <c r="M3535" s="55"/>
      <c r="N3535" s="55"/>
      <c r="O3535" s="302"/>
      <c r="P3535" s="220"/>
      <c r="Q3535" s="220"/>
      <c r="R3535" s="220"/>
      <c r="S3535" s="220"/>
      <c r="T3535" s="220"/>
      <c r="U3535" s="220"/>
      <c r="V3535" s="220"/>
      <c r="W3535" s="220"/>
    </row>
    <row r="3536" spans="1:23" s="27" customFormat="1" ht="15" customHeight="1" thickBot="1">
      <c r="A3536" s="2"/>
      <c r="B3536" s="2" t="s">
        <v>2318</v>
      </c>
      <c r="C3536" s="3">
        <v>93</v>
      </c>
      <c r="D3536" s="68" t="str">
        <f>+D3554</f>
        <v>*** TOTAL FUND 93 REVENUES ***</v>
      </c>
      <c r="E3536" s="68"/>
      <c r="F3536" s="68">
        <f>+F3554</f>
        <v>0</v>
      </c>
      <c r="G3536" s="69">
        <f>+G3554</f>
        <v>10259</v>
      </c>
      <c r="H3536" s="69">
        <f t="shared" ref="H3536:N3536" si="426">+H3554</f>
        <v>7512</v>
      </c>
      <c r="I3536" s="69">
        <f t="shared" si="426"/>
        <v>6120</v>
      </c>
      <c r="J3536" s="69">
        <f t="shared" si="426"/>
        <v>2051</v>
      </c>
      <c r="K3536" s="69">
        <f t="shared" si="426"/>
        <v>2500</v>
      </c>
      <c r="L3536" s="69">
        <f t="shared" si="426"/>
        <v>909</v>
      </c>
      <c r="M3536" s="69">
        <f t="shared" si="426"/>
        <v>1500</v>
      </c>
      <c r="N3536" s="69">
        <f t="shared" si="426"/>
        <v>1500</v>
      </c>
      <c r="O3536" s="281"/>
      <c r="P3536" s="214">
        <v>2808</v>
      </c>
      <c r="Q3536" s="215">
        <v>93</v>
      </c>
      <c r="R3536" s="216" t="s">
        <v>2613</v>
      </c>
      <c r="S3536" s="217"/>
      <c r="T3536" s="218">
        <v>2500</v>
      </c>
      <c r="U3536" s="218">
        <v>119.44</v>
      </c>
      <c r="V3536" s="219">
        <v>1028.53</v>
      </c>
      <c r="W3536" s="219">
        <v>41.14</v>
      </c>
    </row>
    <row r="3537" spans="1:23" s="46" customFormat="1" ht="15" customHeight="1" thickTop="1">
      <c r="A3537" s="5"/>
      <c r="B3537" s="5"/>
      <c r="C3537" s="3">
        <v>93</v>
      </c>
      <c r="D3537" s="47"/>
      <c r="E3537" s="47"/>
      <c r="F3537" s="47"/>
      <c r="G3537" s="56"/>
      <c r="H3537" s="56"/>
      <c r="I3537" s="56"/>
      <c r="J3537" s="56"/>
      <c r="K3537" s="56"/>
      <c r="L3537" s="56"/>
      <c r="M3537" s="56"/>
      <c r="N3537" s="56"/>
      <c r="O3537" s="289"/>
      <c r="P3537" s="221"/>
      <c r="Q3537" s="221"/>
      <c r="R3537" s="221"/>
      <c r="S3537" s="221"/>
      <c r="T3537" s="221"/>
      <c r="U3537" s="221"/>
      <c r="V3537" s="221"/>
      <c r="W3537" s="221"/>
    </row>
    <row r="3538" spans="1:23" ht="15" customHeight="1">
      <c r="C3538" s="3">
        <v>93</v>
      </c>
      <c r="D3538" s="47" t="s">
        <v>1977</v>
      </c>
      <c r="G3538" s="26"/>
      <c r="H3538" s="26"/>
      <c r="I3538" s="26"/>
      <c r="J3538" s="26"/>
      <c r="K3538" s="26"/>
      <c r="L3538" s="26"/>
      <c r="M3538" s="26"/>
      <c r="N3538" s="26"/>
      <c r="P3538" s="214">
        <v>2809</v>
      </c>
      <c r="Q3538" s="215">
        <v>93</v>
      </c>
      <c r="R3538" s="216" t="s">
        <v>2614</v>
      </c>
      <c r="S3538" s="217"/>
      <c r="T3538" s="218"/>
      <c r="U3538" s="218"/>
      <c r="V3538" s="219"/>
      <c r="W3538" s="219"/>
    </row>
    <row r="3539" spans="1:23" ht="15" customHeight="1">
      <c r="C3539" s="3">
        <v>93</v>
      </c>
      <c r="G3539" s="26"/>
      <c r="H3539" s="26"/>
      <c r="I3539" s="26"/>
      <c r="J3539" s="26"/>
      <c r="K3539" s="26"/>
      <c r="L3539" s="26"/>
      <c r="M3539" s="26"/>
      <c r="N3539" s="26"/>
      <c r="P3539" s="214">
        <v>2810</v>
      </c>
      <c r="Q3539" s="215">
        <v>93</v>
      </c>
      <c r="R3539" s="216" t="s">
        <v>2615</v>
      </c>
      <c r="S3539" s="217"/>
      <c r="T3539" s="218"/>
      <c r="U3539" s="218"/>
      <c r="V3539" s="219"/>
      <c r="W3539" s="219"/>
    </row>
    <row r="3540" spans="1:23" ht="15" customHeight="1">
      <c r="B3540" s="2" t="s">
        <v>2318</v>
      </c>
      <c r="C3540" s="3">
        <v>93</v>
      </c>
      <c r="D3540" s="47" t="s">
        <v>1667</v>
      </c>
      <c r="G3540" s="26">
        <f>+G3564</f>
        <v>83022</v>
      </c>
      <c r="H3540" s="26">
        <f t="shared" ref="H3540:N3540" si="427">+H3564</f>
        <v>36843</v>
      </c>
      <c r="I3540" s="26">
        <f t="shared" si="427"/>
        <v>64796</v>
      </c>
      <c r="J3540" s="26">
        <f t="shared" si="427"/>
        <v>42161</v>
      </c>
      <c r="K3540" s="26">
        <f t="shared" si="427"/>
        <v>65000</v>
      </c>
      <c r="L3540" s="26">
        <f t="shared" si="427"/>
        <v>40851</v>
      </c>
      <c r="M3540" s="26">
        <f t="shared" si="427"/>
        <v>56000</v>
      </c>
      <c r="N3540" s="26">
        <f t="shared" si="427"/>
        <v>45000</v>
      </c>
      <c r="P3540" s="222"/>
      <c r="Q3540" s="222"/>
      <c r="R3540" s="222"/>
      <c r="S3540" s="223"/>
      <c r="T3540" s="223"/>
      <c r="U3540" s="223"/>
      <c r="V3540" s="224"/>
      <c r="W3540" s="224"/>
    </row>
    <row r="3541" spans="1:23" ht="15" customHeight="1">
      <c r="C3541" s="3">
        <v>93</v>
      </c>
      <c r="D3541" s="47"/>
      <c r="G3541" s="26"/>
      <c r="H3541" s="26"/>
      <c r="I3541" s="26"/>
      <c r="J3541" s="26"/>
      <c r="K3541" s="26"/>
      <c r="L3541" s="26"/>
      <c r="M3541" s="26"/>
      <c r="N3541" s="26"/>
      <c r="P3541" s="214">
        <v>2811</v>
      </c>
      <c r="Q3541" s="215">
        <v>93</v>
      </c>
      <c r="R3541" s="216" t="s">
        <v>1667</v>
      </c>
      <c r="S3541" s="217"/>
      <c r="T3541" s="218">
        <v>65000</v>
      </c>
      <c r="U3541" s="218">
        <v>183.46</v>
      </c>
      <c r="V3541" s="219">
        <v>41034.44</v>
      </c>
      <c r="W3541" s="219">
        <v>63.13</v>
      </c>
    </row>
    <row r="3542" spans="1:23" s="37" customFormat="1" ht="15" customHeight="1">
      <c r="A3542" s="2"/>
      <c r="B3542" s="2" t="s">
        <v>2318</v>
      </c>
      <c r="C3542" s="3">
        <v>93</v>
      </c>
      <c r="D3542" s="54" t="str">
        <f>+D3566</f>
        <v>*** TOTAL FUND 93 EXPENSES ***</v>
      </c>
      <c r="E3542" s="54"/>
      <c r="F3542" s="54">
        <f t="shared" ref="F3542:N3542" si="428">+F3566</f>
        <v>0</v>
      </c>
      <c r="G3542" s="339">
        <f t="shared" si="428"/>
        <v>83022</v>
      </c>
      <c r="H3542" s="339">
        <f t="shared" si="428"/>
        <v>36843</v>
      </c>
      <c r="I3542" s="339">
        <f t="shared" si="428"/>
        <v>64796</v>
      </c>
      <c r="J3542" s="339">
        <f t="shared" si="428"/>
        <v>42161</v>
      </c>
      <c r="K3542" s="339">
        <f t="shared" si="428"/>
        <v>65000</v>
      </c>
      <c r="L3542" s="339">
        <f t="shared" si="428"/>
        <v>40851</v>
      </c>
      <c r="M3542" s="339">
        <f t="shared" si="428"/>
        <v>56000</v>
      </c>
      <c r="N3542" s="339">
        <f t="shared" si="428"/>
        <v>45000</v>
      </c>
      <c r="O3542" s="303"/>
      <c r="P3542" s="214">
        <v>2812</v>
      </c>
      <c r="Q3542" s="215">
        <v>93</v>
      </c>
      <c r="R3542" s="216" t="s">
        <v>2618</v>
      </c>
      <c r="S3542" s="217"/>
      <c r="T3542" s="218">
        <v>65000</v>
      </c>
      <c r="U3542" s="218">
        <v>183.46</v>
      </c>
      <c r="V3542" s="219">
        <v>41034.44</v>
      </c>
      <c r="W3542" s="219">
        <v>63.13</v>
      </c>
    </row>
    <row r="3543" spans="1:23" s="46" customFormat="1" ht="15" customHeight="1">
      <c r="A3543" s="5"/>
      <c r="B3543" s="5"/>
      <c r="C3543" s="3">
        <v>93</v>
      </c>
      <c r="D3543" s="47"/>
      <c r="E3543" s="47"/>
      <c r="F3543" s="47"/>
      <c r="G3543" s="56"/>
      <c r="H3543" s="56"/>
      <c r="I3543" s="56"/>
      <c r="J3543" s="56"/>
      <c r="K3543" s="56"/>
      <c r="L3543" s="56"/>
      <c r="M3543" s="56"/>
      <c r="N3543" s="56"/>
      <c r="O3543" s="289"/>
      <c r="P3543" s="221"/>
      <c r="Q3543" s="221"/>
      <c r="R3543" s="221"/>
      <c r="S3543" s="221"/>
      <c r="T3543" s="221"/>
      <c r="U3543" s="221"/>
      <c r="V3543" s="221"/>
      <c r="W3543" s="221"/>
    </row>
    <row r="3544" spans="1:23" s="33" customFormat="1" ht="15" customHeight="1" thickBot="1">
      <c r="A3544" s="2"/>
      <c r="B3544" s="2" t="s">
        <v>2318</v>
      </c>
      <c r="C3544" s="3">
        <v>93</v>
      </c>
      <c r="D3544" s="335" t="str">
        <f>+D3568</f>
        <v>*** FUND 93 REVENUES OVER(UNDER) EXPENSES ***</v>
      </c>
      <c r="E3544" s="336"/>
      <c r="F3544" s="336">
        <f>+F3568</f>
        <v>0</v>
      </c>
      <c r="G3544" s="336">
        <f>+G3568</f>
        <v>-72763</v>
      </c>
      <c r="H3544" s="336">
        <f t="shared" ref="H3544:N3544" si="429">+H3568</f>
        <v>-29331</v>
      </c>
      <c r="I3544" s="336">
        <f t="shared" si="429"/>
        <v>-58676</v>
      </c>
      <c r="J3544" s="336">
        <f t="shared" si="429"/>
        <v>-40110</v>
      </c>
      <c r="K3544" s="336">
        <f t="shared" si="429"/>
        <v>-62500</v>
      </c>
      <c r="L3544" s="336">
        <f t="shared" si="429"/>
        <v>-39942</v>
      </c>
      <c r="M3544" s="336">
        <f t="shared" si="429"/>
        <v>-54500</v>
      </c>
      <c r="N3544" s="336">
        <f t="shared" si="429"/>
        <v>-43500</v>
      </c>
      <c r="O3544" s="301"/>
      <c r="P3544" s="214">
        <v>2813</v>
      </c>
      <c r="Q3544" s="215">
        <v>93</v>
      </c>
      <c r="R3544" s="216" t="s">
        <v>2619</v>
      </c>
      <c r="S3544" s="217"/>
      <c r="T3544" s="218">
        <v>-62500</v>
      </c>
      <c r="U3544" s="218">
        <v>-64.02</v>
      </c>
      <c r="V3544" s="219">
        <v>-40005.910000000003</v>
      </c>
      <c r="W3544" s="219">
        <v>64.010000000000005</v>
      </c>
    </row>
    <row r="3545" spans="1:23" s="46" customFormat="1" ht="15" customHeight="1" thickTop="1">
      <c r="A3545" s="5"/>
      <c r="B3545" s="5"/>
      <c r="C3545" s="3">
        <v>93</v>
      </c>
      <c r="D3545" s="58"/>
      <c r="E3545" s="56"/>
      <c r="F3545" s="56"/>
      <c r="G3545" s="56"/>
      <c r="H3545" s="56"/>
      <c r="I3545" s="56"/>
      <c r="J3545" s="56"/>
      <c r="K3545" s="56"/>
      <c r="L3545" s="56"/>
      <c r="M3545" s="56"/>
      <c r="N3545" s="56"/>
      <c r="O3545" s="289"/>
      <c r="P3545" s="221"/>
      <c r="Q3545" s="221"/>
      <c r="R3545" s="221"/>
      <c r="S3545" s="221"/>
      <c r="T3545" s="221"/>
      <c r="U3545" s="221"/>
      <c r="V3545" s="221"/>
      <c r="W3545" s="221"/>
    </row>
    <row r="3546" spans="1:23" ht="15" customHeight="1">
      <c r="C3546" s="3">
        <v>93</v>
      </c>
      <c r="D3546" s="54" t="s">
        <v>2875</v>
      </c>
      <c r="E3546" s="54"/>
      <c r="F3546" s="192"/>
      <c r="G3546" s="55"/>
      <c r="H3546" s="55"/>
      <c r="I3546" s="55"/>
      <c r="J3546" s="55"/>
      <c r="K3546" s="55">
        <f>+K3530+K3536-K3542</f>
        <v>118182.32</v>
      </c>
      <c r="L3546" s="55"/>
      <c r="M3546" s="55">
        <f>+M3530+M3536-M3542</f>
        <v>126182.32</v>
      </c>
      <c r="N3546" s="55">
        <f>+N3530+N3536-N3542</f>
        <v>82682.320000000007</v>
      </c>
      <c r="O3546" s="253"/>
      <c r="P3546" s="203"/>
      <c r="Q3546" s="204"/>
      <c r="R3546" s="205"/>
      <c r="S3546" s="206"/>
      <c r="T3546" s="207"/>
      <c r="U3546" s="207"/>
      <c r="V3546" s="208"/>
      <c r="W3546" s="212"/>
    </row>
    <row r="3547" spans="1:23" s="46" customFormat="1" ht="15" customHeight="1">
      <c r="A3547" s="195"/>
      <c r="B3547" s="195"/>
      <c r="C3547" s="3">
        <v>93</v>
      </c>
      <c r="D3547" s="58"/>
      <c r="E3547" s="56"/>
      <c r="F3547" s="56"/>
      <c r="G3547" s="56"/>
      <c r="H3547" s="56"/>
      <c r="I3547" s="56"/>
      <c r="J3547" s="56"/>
      <c r="K3547" s="56"/>
      <c r="L3547" s="56"/>
      <c r="M3547" s="26"/>
      <c r="N3547" s="26"/>
      <c r="O3547" s="289"/>
      <c r="P3547" s="221"/>
      <c r="Q3547" s="221"/>
      <c r="R3547" s="221"/>
      <c r="S3547" s="221"/>
      <c r="T3547" s="221"/>
      <c r="U3547" s="221"/>
      <c r="V3547" s="221"/>
      <c r="W3547" s="221"/>
    </row>
    <row r="3548" spans="1:23" ht="15" customHeight="1">
      <c r="C3548" s="3">
        <v>93</v>
      </c>
      <c r="D3548" s="313">
        <v>4130.1000000000004</v>
      </c>
      <c r="E3548" s="312" t="s">
        <v>1948</v>
      </c>
      <c r="G3548" s="26">
        <v>0</v>
      </c>
      <c r="H3548" s="26">
        <v>0</v>
      </c>
      <c r="I3548" s="26">
        <v>0</v>
      </c>
      <c r="J3548" s="26">
        <v>0</v>
      </c>
      <c r="K3548" s="26">
        <v>0</v>
      </c>
      <c r="L3548" s="26">
        <v>0</v>
      </c>
      <c r="M3548" s="26">
        <v>0</v>
      </c>
      <c r="N3548" s="26">
        <v>0</v>
      </c>
      <c r="O3548" s="285"/>
      <c r="P3548" s="214">
        <v>2814</v>
      </c>
      <c r="Q3548" s="215">
        <v>93</v>
      </c>
      <c r="R3548" s="216">
        <v>4130.1000000000004</v>
      </c>
      <c r="S3548" s="217" t="s">
        <v>1948</v>
      </c>
      <c r="T3548" s="218">
        <v>0</v>
      </c>
      <c r="U3548" s="218">
        <v>0</v>
      </c>
      <c r="V3548" s="219">
        <v>0</v>
      </c>
      <c r="W3548" s="219">
        <v>0</v>
      </c>
    </row>
    <row r="3549" spans="1:23" ht="15" customHeight="1">
      <c r="C3549" s="3">
        <v>93</v>
      </c>
      <c r="D3549" s="313">
        <v>4130.2</v>
      </c>
      <c r="E3549" s="312" t="s">
        <v>26</v>
      </c>
      <c r="G3549" s="26">
        <v>0</v>
      </c>
      <c r="H3549" s="26">
        <v>0</v>
      </c>
      <c r="I3549" s="26">
        <v>0</v>
      </c>
      <c r="J3549" s="26">
        <v>0</v>
      </c>
      <c r="K3549" s="26">
        <v>0</v>
      </c>
      <c r="L3549" s="26">
        <v>0</v>
      </c>
      <c r="M3549" s="26">
        <v>0</v>
      </c>
      <c r="N3549" s="26">
        <v>0</v>
      </c>
      <c r="O3549" s="285"/>
      <c r="P3549" s="214">
        <v>2815</v>
      </c>
      <c r="Q3549" s="215">
        <v>93</v>
      </c>
      <c r="R3549" s="216">
        <v>4130.2</v>
      </c>
      <c r="S3549" s="217" t="s">
        <v>26</v>
      </c>
      <c r="T3549" s="218">
        <v>0</v>
      </c>
      <c r="U3549" s="218">
        <v>0</v>
      </c>
      <c r="V3549" s="219">
        <v>0</v>
      </c>
      <c r="W3549" s="219">
        <v>0</v>
      </c>
    </row>
    <row r="3550" spans="1:23" ht="15" customHeight="1">
      <c r="C3550" s="3">
        <v>93</v>
      </c>
      <c r="D3550" s="313">
        <v>4130.3</v>
      </c>
      <c r="E3550" s="312" t="s">
        <v>1941</v>
      </c>
      <c r="G3550" s="26">
        <v>0</v>
      </c>
      <c r="H3550" s="26">
        <v>0</v>
      </c>
      <c r="I3550" s="26">
        <v>0</v>
      </c>
      <c r="J3550" s="26">
        <v>0</v>
      </c>
      <c r="K3550" s="26">
        <v>0</v>
      </c>
      <c r="L3550" s="26">
        <v>0</v>
      </c>
      <c r="M3550" s="26">
        <v>0</v>
      </c>
      <c r="N3550" s="26">
        <v>0</v>
      </c>
      <c r="O3550" s="285"/>
      <c r="P3550" s="214">
        <v>2816</v>
      </c>
      <c r="Q3550" s="215">
        <v>93</v>
      </c>
      <c r="R3550" s="216">
        <v>4130.3</v>
      </c>
      <c r="S3550" s="217" t="s">
        <v>1941</v>
      </c>
      <c r="T3550" s="218">
        <v>0</v>
      </c>
      <c r="U3550" s="218">
        <v>0</v>
      </c>
      <c r="V3550" s="219">
        <v>0</v>
      </c>
      <c r="W3550" s="219">
        <v>0</v>
      </c>
    </row>
    <row r="3551" spans="1:23" ht="15" customHeight="1">
      <c r="C3551" s="3">
        <v>93</v>
      </c>
      <c r="D3551" s="313">
        <v>4130.3999999999996</v>
      </c>
      <c r="E3551" s="312" t="s">
        <v>1942</v>
      </c>
      <c r="G3551" s="26">
        <v>0</v>
      </c>
      <c r="H3551" s="26">
        <v>0</v>
      </c>
      <c r="I3551" s="26">
        <v>0</v>
      </c>
      <c r="J3551" s="26">
        <v>0</v>
      </c>
      <c r="K3551" s="26">
        <v>0</v>
      </c>
      <c r="L3551" s="26">
        <v>0</v>
      </c>
      <c r="M3551" s="26">
        <v>0</v>
      </c>
      <c r="N3551" s="26">
        <v>0</v>
      </c>
      <c r="O3551" s="285"/>
      <c r="P3551" s="214">
        <v>2817</v>
      </c>
      <c r="Q3551" s="215">
        <v>93</v>
      </c>
      <c r="R3551" s="216">
        <v>4130.3999999999996</v>
      </c>
      <c r="S3551" s="217" t="s">
        <v>1942</v>
      </c>
      <c r="T3551" s="218">
        <v>0</v>
      </c>
      <c r="U3551" s="218">
        <v>0</v>
      </c>
      <c r="V3551" s="219">
        <v>0</v>
      </c>
      <c r="W3551" s="219">
        <v>0</v>
      </c>
    </row>
    <row r="3552" spans="1:23" ht="15" customHeight="1">
      <c r="C3552" s="3">
        <v>93</v>
      </c>
      <c r="D3552" s="15">
        <v>4330</v>
      </c>
      <c r="E3552" s="312" t="s">
        <v>1669</v>
      </c>
      <c r="G3552" s="26">
        <v>10259</v>
      </c>
      <c r="H3552" s="26">
        <v>7512</v>
      </c>
      <c r="I3552" s="26">
        <v>6120</v>
      </c>
      <c r="J3552" s="26">
        <v>2051</v>
      </c>
      <c r="K3552" s="26">
        <v>2500</v>
      </c>
      <c r="L3552" s="26">
        <v>909</v>
      </c>
      <c r="M3552" s="26">
        <v>1500</v>
      </c>
      <c r="N3552" s="26">
        <v>1500</v>
      </c>
      <c r="O3552" s="285"/>
      <c r="P3552" s="214">
        <v>2818</v>
      </c>
      <c r="Q3552" s="215">
        <v>93</v>
      </c>
      <c r="R3552" s="216">
        <v>4330</v>
      </c>
      <c r="S3552" s="217" t="s">
        <v>1669</v>
      </c>
      <c r="T3552" s="218">
        <v>2500</v>
      </c>
      <c r="U3552" s="218">
        <v>119.44</v>
      </c>
      <c r="V3552" s="219">
        <v>1028.53</v>
      </c>
      <c r="W3552" s="219">
        <v>41.14</v>
      </c>
    </row>
    <row r="3553" spans="1:23" ht="15" customHeight="1">
      <c r="C3553" s="3">
        <v>93</v>
      </c>
      <c r="E3553" s="14"/>
      <c r="G3553" s="26"/>
      <c r="H3553" s="26"/>
      <c r="I3553" s="26"/>
      <c r="J3553" s="26"/>
      <c r="K3553" s="26"/>
      <c r="L3553" s="26"/>
      <c r="M3553" s="26"/>
      <c r="N3553" s="26"/>
      <c r="P3553" s="222"/>
      <c r="Q3553" s="222"/>
      <c r="R3553" s="222"/>
      <c r="S3553" s="223"/>
      <c r="T3553" s="223"/>
      <c r="U3553" s="223"/>
      <c r="V3553" s="224"/>
      <c r="W3553" s="224"/>
    </row>
    <row r="3554" spans="1:23" s="27" customFormat="1" ht="15" customHeight="1" thickBot="1">
      <c r="A3554" s="2"/>
      <c r="B3554" s="2" t="s">
        <v>2317</v>
      </c>
      <c r="C3554" s="3">
        <v>93</v>
      </c>
      <c r="D3554" s="68" t="s">
        <v>2313</v>
      </c>
      <c r="E3554" s="68"/>
      <c r="F3554" s="320"/>
      <c r="G3554" s="69">
        <f>SUM(G3547:G3553)</f>
        <v>10259</v>
      </c>
      <c r="H3554" s="69">
        <f t="shared" ref="H3554:N3554" si="430">SUM(H3547:H3553)</f>
        <v>7512</v>
      </c>
      <c r="I3554" s="69">
        <f t="shared" si="430"/>
        <v>6120</v>
      </c>
      <c r="J3554" s="69">
        <f t="shared" si="430"/>
        <v>2051</v>
      </c>
      <c r="K3554" s="69">
        <f t="shared" si="430"/>
        <v>2500</v>
      </c>
      <c r="L3554" s="69">
        <f t="shared" si="430"/>
        <v>909</v>
      </c>
      <c r="M3554" s="69">
        <f t="shared" si="430"/>
        <v>1500</v>
      </c>
      <c r="N3554" s="69">
        <f t="shared" si="430"/>
        <v>1500</v>
      </c>
      <c r="O3554" s="281"/>
      <c r="P3554" s="214">
        <v>2819</v>
      </c>
      <c r="Q3554" s="215">
        <v>93</v>
      </c>
      <c r="R3554" s="216" t="s">
        <v>2620</v>
      </c>
      <c r="S3554" s="217"/>
      <c r="T3554" s="218">
        <v>2500</v>
      </c>
      <c r="U3554" s="218">
        <v>119.44</v>
      </c>
      <c r="V3554" s="219">
        <v>1028.53</v>
      </c>
      <c r="W3554" s="219">
        <v>41.14</v>
      </c>
    </row>
    <row r="3555" spans="1:23" s="46" customFormat="1" ht="15" customHeight="1" thickTop="1">
      <c r="A3555" s="5"/>
      <c r="B3555" s="5"/>
      <c r="C3555" s="3">
        <v>93</v>
      </c>
      <c r="D3555" s="47"/>
      <c r="E3555" s="47"/>
      <c r="F3555" s="191"/>
      <c r="G3555" s="56"/>
      <c r="H3555" s="56"/>
      <c r="I3555" s="56"/>
      <c r="J3555" s="56"/>
      <c r="K3555" s="56"/>
      <c r="L3555" s="56"/>
      <c r="M3555" s="56"/>
      <c r="N3555" s="56"/>
      <c r="O3555" s="289"/>
      <c r="P3555" s="221"/>
      <c r="Q3555" s="221"/>
      <c r="R3555" s="221"/>
      <c r="S3555" s="221"/>
      <c r="T3555" s="221"/>
      <c r="U3555" s="221"/>
      <c r="V3555" s="221"/>
      <c r="W3555" s="221"/>
    </row>
    <row r="3556" spans="1:23" ht="15" customHeight="1">
      <c r="C3556" s="3">
        <v>93</v>
      </c>
      <c r="D3556" s="47" t="s">
        <v>1973</v>
      </c>
      <c r="G3556" s="26"/>
      <c r="H3556" s="26"/>
      <c r="I3556" s="26"/>
      <c r="J3556" s="26"/>
      <c r="K3556" s="26"/>
      <c r="L3556" s="26"/>
      <c r="M3556" s="26"/>
      <c r="N3556" s="26"/>
      <c r="P3556" s="214">
        <v>2820</v>
      </c>
      <c r="Q3556" s="215">
        <v>93</v>
      </c>
      <c r="R3556" s="216" t="s">
        <v>135</v>
      </c>
      <c r="S3556" s="217"/>
      <c r="T3556" s="218"/>
      <c r="U3556" s="218"/>
      <c r="V3556" s="219"/>
      <c r="W3556" s="219"/>
    </row>
    <row r="3557" spans="1:23" ht="15" customHeight="1">
      <c r="C3557" s="3">
        <v>93</v>
      </c>
      <c r="G3557" s="26"/>
      <c r="H3557" s="26"/>
      <c r="I3557" s="26"/>
      <c r="J3557" s="26"/>
      <c r="K3557" s="26"/>
      <c r="L3557" s="26"/>
      <c r="M3557" s="26"/>
      <c r="N3557" s="26"/>
      <c r="P3557" s="214">
        <v>2821</v>
      </c>
      <c r="Q3557" s="215">
        <v>93</v>
      </c>
      <c r="R3557" s="216" t="s">
        <v>2626</v>
      </c>
      <c r="S3557" s="217"/>
      <c r="T3557" s="218"/>
      <c r="U3557" s="218"/>
      <c r="V3557" s="219"/>
      <c r="W3557" s="219"/>
    </row>
    <row r="3558" spans="1:23" ht="15" customHeight="1">
      <c r="C3558" s="3">
        <v>93</v>
      </c>
      <c r="D3558" s="15" t="s">
        <v>1944</v>
      </c>
      <c r="E3558" s="312" t="s">
        <v>1949</v>
      </c>
      <c r="G3558" s="26">
        <v>86179</v>
      </c>
      <c r="H3558" s="26">
        <v>40819</v>
      </c>
      <c r="I3558" s="26">
        <v>69192</v>
      </c>
      <c r="J3558" s="26">
        <v>46695</v>
      </c>
      <c r="K3558" s="26">
        <v>70000</v>
      </c>
      <c r="L3558" s="26">
        <v>41708</v>
      </c>
      <c r="M3558" s="26">
        <v>57000</v>
      </c>
      <c r="N3558" s="26">
        <v>50000</v>
      </c>
      <c r="O3558" s="285"/>
      <c r="P3558" s="214">
        <v>2822</v>
      </c>
      <c r="Q3558" s="215">
        <v>93</v>
      </c>
      <c r="R3558" s="216" t="s">
        <v>1944</v>
      </c>
      <c r="S3558" s="217" t="s">
        <v>1949</v>
      </c>
      <c r="T3558" s="218">
        <v>70000</v>
      </c>
      <c r="U3558" s="218">
        <v>183.46</v>
      </c>
      <c r="V3558" s="219">
        <v>41891.24</v>
      </c>
      <c r="W3558" s="219">
        <v>59.84</v>
      </c>
    </row>
    <row r="3559" spans="1:23" ht="15" customHeight="1">
      <c r="C3559" s="3">
        <v>93</v>
      </c>
      <c r="D3559" s="15" t="s">
        <v>1946</v>
      </c>
      <c r="E3559" s="312" t="s">
        <v>1950</v>
      </c>
      <c r="G3559" s="26">
        <v>-3157</v>
      </c>
      <c r="H3559" s="26">
        <v>-3976</v>
      </c>
      <c r="I3559" s="26">
        <v>-4396</v>
      </c>
      <c r="J3559" s="26">
        <v>-4534</v>
      </c>
      <c r="K3559" s="26">
        <v>-5000</v>
      </c>
      <c r="L3559" s="26">
        <v>-857</v>
      </c>
      <c r="M3559" s="26">
        <v>-1000</v>
      </c>
      <c r="N3559" s="26">
        <v>-5000</v>
      </c>
      <c r="O3559" s="285"/>
      <c r="P3559" s="214">
        <v>2823</v>
      </c>
      <c r="Q3559" s="215">
        <v>93</v>
      </c>
      <c r="R3559" s="216" t="s">
        <v>1946</v>
      </c>
      <c r="S3559" s="217" t="s">
        <v>1950</v>
      </c>
      <c r="T3559" s="218">
        <v>-5000</v>
      </c>
      <c r="U3559" s="218">
        <v>0</v>
      </c>
      <c r="V3559" s="219">
        <v>-856.8</v>
      </c>
      <c r="W3559" s="219">
        <v>17.14</v>
      </c>
    </row>
    <row r="3560" spans="1:23" ht="15" customHeight="1">
      <c r="C3560" s="3">
        <v>93</v>
      </c>
      <c r="D3560" s="15" t="s">
        <v>1951</v>
      </c>
      <c r="E3560" s="312" t="s">
        <v>1952</v>
      </c>
      <c r="G3560" s="26">
        <v>0</v>
      </c>
      <c r="H3560" s="26">
        <v>0</v>
      </c>
      <c r="I3560" s="26">
        <v>0</v>
      </c>
      <c r="J3560" s="26">
        <v>0</v>
      </c>
      <c r="K3560" s="26">
        <v>0</v>
      </c>
      <c r="L3560" s="26">
        <v>0</v>
      </c>
      <c r="M3560" s="26">
        <v>0</v>
      </c>
      <c r="N3560" s="26"/>
      <c r="O3560" s="285"/>
      <c r="P3560" s="214">
        <v>2824</v>
      </c>
      <c r="Q3560" s="215">
        <v>93</v>
      </c>
      <c r="R3560" s="216" t="s">
        <v>1951</v>
      </c>
      <c r="S3560" s="217" t="s">
        <v>1952</v>
      </c>
      <c r="T3560" s="218">
        <v>0</v>
      </c>
      <c r="U3560" s="218">
        <v>0</v>
      </c>
      <c r="V3560" s="219">
        <v>0</v>
      </c>
      <c r="W3560" s="219">
        <v>0</v>
      </c>
    </row>
    <row r="3561" spans="1:23" ht="15" customHeight="1">
      <c r="C3561" s="3">
        <v>93</v>
      </c>
      <c r="G3561" s="26"/>
      <c r="H3561" s="26"/>
      <c r="I3561" s="26"/>
      <c r="J3561" s="26"/>
      <c r="K3561" s="26"/>
      <c r="L3561" s="26"/>
      <c r="M3561" s="26"/>
      <c r="N3561" s="26"/>
      <c r="P3561" s="214">
        <v>2825</v>
      </c>
      <c r="Q3561" s="215"/>
      <c r="R3561" s="216"/>
      <c r="S3561" s="217"/>
      <c r="T3561" s="218"/>
      <c r="U3561" s="218"/>
      <c r="V3561" s="219"/>
      <c r="W3561" s="219"/>
    </row>
    <row r="3562" spans="1:23" s="22" customFormat="1" ht="15" customHeight="1">
      <c r="A3562" s="2" t="s">
        <v>135</v>
      </c>
      <c r="B3562" s="2" t="s">
        <v>2317</v>
      </c>
      <c r="C3562" s="3">
        <v>93</v>
      </c>
      <c r="D3562" s="323" t="s">
        <v>1970</v>
      </c>
      <c r="E3562" s="323"/>
      <c r="F3562" s="324"/>
      <c r="G3562" s="325">
        <f>SUM(G3556:G3561)</f>
        <v>83022</v>
      </c>
      <c r="H3562" s="325">
        <f t="shared" ref="H3562:N3562" si="431">SUM(H3556:H3561)</f>
        <v>36843</v>
      </c>
      <c r="I3562" s="325">
        <f t="shared" si="431"/>
        <v>64796</v>
      </c>
      <c r="J3562" s="325">
        <f t="shared" si="431"/>
        <v>42161</v>
      </c>
      <c r="K3562" s="325">
        <f t="shared" si="431"/>
        <v>65000</v>
      </c>
      <c r="L3562" s="325">
        <f t="shared" si="431"/>
        <v>40851</v>
      </c>
      <c r="M3562" s="325">
        <f t="shared" si="431"/>
        <v>56000</v>
      </c>
      <c r="N3562" s="325">
        <f t="shared" si="431"/>
        <v>45000</v>
      </c>
      <c r="O3562" s="290"/>
      <c r="P3562" s="214">
        <v>2826</v>
      </c>
      <c r="Q3562" s="215">
        <v>93</v>
      </c>
      <c r="R3562" s="216" t="s">
        <v>135</v>
      </c>
      <c r="S3562" s="217"/>
      <c r="T3562" s="218">
        <v>65000</v>
      </c>
      <c r="U3562" s="218">
        <v>183.46</v>
      </c>
      <c r="V3562" s="219">
        <v>41034.44</v>
      </c>
      <c r="W3562" s="219">
        <v>0</v>
      </c>
    </row>
    <row r="3563" spans="1:23" ht="15" customHeight="1">
      <c r="C3563" s="3">
        <v>93</v>
      </c>
      <c r="G3563" s="26"/>
      <c r="H3563" s="26"/>
      <c r="I3563" s="26"/>
      <c r="J3563" s="26"/>
      <c r="K3563" s="26"/>
      <c r="L3563" s="26"/>
      <c r="M3563" s="26"/>
      <c r="N3563" s="26"/>
      <c r="P3563" s="214"/>
      <c r="Q3563" s="215"/>
      <c r="R3563" s="216"/>
      <c r="S3563" s="217"/>
      <c r="T3563" s="218"/>
      <c r="U3563" s="218"/>
      <c r="V3563" s="219"/>
      <c r="W3563" s="219"/>
    </row>
    <row r="3564" spans="1:23" ht="15" customHeight="1">
      <c r="C3564" s="3">
        <v>93</v>
      </c>
      <c r="D3564" s="47" t="s">
        <v>1667</v>
      </c>
      <c r="G3564" s="26">
        <f>SUM(G3562:G3563)</f>
        <v>83022</v>
      </c>
      <c r="H3564" s="26">
        <f t="shared" ref="H3564:N3564" si="432">SUM(H3562:H3563)</f>
        <v>36843</v>
      </c>
      <c r="I3564" s="26">
        <f t="shared" si="432"/>
        <v>64796</v>
      </c>
      <c r="J3564" s="26">
        <f t="shared" si="432"/>
        <v>42161</v>
      </c>
      <c r="K3564" s="26">
        <f t="shared" si="432"/>
        <v>65000</v>
      </c>
      <c r="L3564" s="26">
        <f t="shared" si="432"/>
        <v>40851</v>
      </c>
      <c r="M3564" s="26">
        <f t="shared" si="432"/>
        <v>56000</v>
      </c>
      <c r="N3564" s="26">
        <f t="shared" si="432"/>
        <v>45000</v>
      </c>
      <c r="P3564" s="214">
        <v>2828</v>
      </c>
      <c r="Q3564" s="215">
        <v>93</v>
      </c>
      <c r="R3564" s="216" t="s">
        <v>1667</v>
      </c>
      <c r="S3564" s="217"/>
      <c r="T3564" s="218">
        <v>65000</v>
      </c>
      <c r="U3564" s="218">
        <v>183.46</v>
      </c>
      <c r="V3564" s="219">
        <v>41034.44</v>
      </c>
      <c r="W3564" s="219">
        <v>63.13</v>
      </c>
    </row>
    <row r="3565" spans="1:23" ht="15" customHeight="1">
      <c r="C3565" s="3">
        <v>93</v>
      </c>
      <c r="D3565" s="47"/>
      <c r="G3565" s="26"/>
      <c r="H3565" s="26"/>
      <c r="I3565" s="26"/>
      <c r="J3565" s="26"/>
      <c r="K3565" s="26"/>
      <c r="L3565" s="26"/>
      <c r="M3565" s="26"/>
      <c r="N3565" s="26"/>
      <c r="P3565" s="222"/>
      <c r="Q3565" s="222"/>
      <c r="R3565" s="222"/>
      <c r="S3565" s="223"/>
      <c r="T3565" s="223"/>
      <c r="U3565" s="223"/>
      <c r="V3565" s="224"/>
      <c r="W3565" s="224"/>
    </row>
    <row r="3566" spans="1:23" s="31" customFormat="1" ht="15" customHeight="1">
      <c r="A3566" s="2"/>
      <c r="B3566" s="2" t="s">
        <v>2317</v>
      </c>
      <c r="C3566" s="3">
        <v>93</v>
      </c>
      <c r="D3566" s="54" t="s">
        <v>2290</v>
      </c>
      <c r="E3566" s="54"/>
      <c r="F3566" s="192"/>
      <c r="G3566" s="339">
        <f>SUM(G3564:G3565)</f>
        <v>83022</v>
      </c>
      <c r="H3566" s="339">
        <f t="shared" ref="H3566:N3566" si="433">SUM(H3564:H3565)</f>
        <v>36843</v>
      </c>
      <c r="I3566" s="339">
        <f t="shared" si="433"/>
        <v>64796</v>
      </c>
      <c r="J3566" s="339">
        <f t="shared" si="433"/>
        <v>42161</v>
      </c>
      <c r="K3566" s="339">
        <f t="shared" si="433"/>
        <v>65000</v>
      </c>
      <c r="L3566" s="339">
        <f t="shared" si="433"/>
        <v>40851</v>
      </c>
      <c r="M3566" s="339">
        <f t="shared" si="433"/>
        <v>56000</v>
      </c>
      <c r="N3566" s="339">
        <f t="shared" si="433"/>
        <v>45000</v>
      </c>
      <c r="O3566" s="305"/>
      <c r="P3566" s="214">
        <v>2829</v>
      </c>
      <c r="Q3566" s="215">
        <v>93</v>
      </c>
      <c r="R3566" s="216" t="s">
        <v>2618</v>
      </c>
      <c r="S3566" s="217"/>
      <c r="T3566" s="218">
        <v>65000</v>
      </c>
      <c r="U3566" s="218">
        <v>183.46</v>
      </c>
      <c r="V3566" s="219">
        <v>41034.44</v>
      </c>
      <c r="W3566" s="219">
        <v>63.13</v>
      </c>
    </row>
    <row r="3567" spans="1:23" s="46" customFormat="1" ht="15" customHeight="1">
      <c r="A3567" s="5"/>
      <c r="B3567" s="5"/>
      <c r="C3567" s="3">
        <v>93</v>
      </c>
      <c r="D3567" s="47"/>
      <c r="E3567" s="47"/>
      <c r="F3567" s="191"/>
      <c r="G3567" s="56"/>
      <c r="H3567" s="56"/>
      <c r="I3567" s="56"/>
      <c r="J3567" s="56"/>
      <c r="K3567" s="56"/>
      <c r="L3567" s="56"/>
      <c r="M3567" s="56"/>
      <c r="N3567" s="56"/>
      <c r="O3567" s="289"/>
      <c r="P3567" s="221"/>
      <c r="Q3567" s="221"/>
      <c r="R3567" s="221"/>
      <c r="S3567" s="221"/>
      <c r="T3567" s="221"/>
      <c r="U3567" s="221"/>
      <c r="V3567" s="221"/>
      <c r="W3567" s="221"/>
    </row>
    <row r="3568" spans="1:23" s="33" customFormat="1" ht="15" customHeight="1" thickBot="1">
      <c r="A3568" s="2"/>
      <c r="B3568" s="2" t="s">
        <v>2317</v>
      </c>
      <c r="C3568" s="3">
        <v>93</v>
      </c>
      <c r="D3568" s="329" t="s">
        <v>2265</v>
      </c>
      <c r="E3568" s="329"/>
      <c r="F3568" s="330"/>
      <c r="G3568" s="336">
        <f>+G3554-G3566</f>
        <v>-72763</v>
      </c>
      <c r="H3568" s="336">
        <f t="shared" ref="H3568:N3568" si="434">+H3554-H3566</f>
        <v>-29331</v>
      </c>
      <c r="I3568" s="336">
        <f t="shared" si="434"/>
        <v>-58676</v>
      </c>
      <c r="J3568" s="336">
        <f t="shared" si="434"/>
        <v>-40110</v>
      </c>
      <c r="K3568" s="336">
        <f t="shared" si="434"/>
        <v>-62500</v>
      </c>
      <c r="L3568" s="336">
        <f t="shared" si="434"/>
        <v>-39942</v>
      </c>
      <c r="M3568" s="336">
        <f t="shared" si="434"/>
        <v>-54500</v>
      </c>
      <c r="N3568" s="336">
        <f t="shared" si="434"/>
        <v>-43500</v>
      </c>
      <c r="O3568" s="301"/>
      <c r="P3568" s="214">
        <v>2830</v>
      </c>
      <c r="Q3568" s="215">
        <v>93</v>
      </c>
      <c r="R3568" s="216" t="s">
        <v>2619</v>
      </c>
      <c r="S3568" s="217"/>
      <c r="T3568" s="218">
        <v>-62500</v>
      </c>
      <c r="U3568" s="218">
        <v>-64.02</v>
      </c>
      <c r="V3568" s="219">
        <v>-40005.910000000003</v>
      </c>
      <c r="W3568" s="219">
        <v>0</v>
      </c>
    </row>
    <row r="3569" spans="1:23" s="46" customFormat="1" ht="15" customHeight="1" thickTop="1">
      <c r="A3569" s="5"/>
      <c r="B3569" s="5"/>
      <c r="C3569" s="3">
        <v>93</v>
      </c>
      <c r="D3569" s="47"/>
      <c r="E3569" s="47"/>
      <c r="F3569" s="191"/>
      <c r="G3569" s="56"/>
      <c r="H3569" s="56"/>
      <c r="I3569" s="56"/>
      <c r="J3569" s="56"/>
      <c r="K3569" s="56"/>
      <c r="L3569" s="56"/>
      <c r="M3569" s="56"/>
      <c r="N3569" s="56"/>
      <c r="O3569" s="289"/>
      <c r="P3569" s="221"/>
      <c r="Q3569" s="221"/>
      <c r="R3569" s="221"/>
      <c r="S3569" s="221"/>
      <c r="T3569" s="221"/>
      <c r="U3569" s="221"/>
      <c r="V3569" s="221"/>
      <c r="W3569" s="221"/>
    </row>
    <row r="3570" spans="1:23" ht="15" customHeight="1">
      <c r="C3570" s="3">
        <v>93</v>
      </c>
      <c r="D3570" s="54" t="s">
        <v>2875</v>
      </c>
      <c r="E3570" s="54"/>
      <c r="F3570" s="192"/>
      <c r="G3570" s="55"/>
      <c r="H3570" s="55"/>
      <c r="I3570" s="55"/>
      <c r="J3570" s="55"/>
      <c r="K3570" s="55">
        <f>+K3546</f>
        <v>118182.32</v>
      </c>
      <c r="L3570" s="55"/>
      <c r="M3570" s="55">
        <f>+M3546</f>
        <v>126182.32</v>
      </c>
      <c r="N3570" s="55">
        <f>+N3546</f>
        <v>82682.320000000007</v>
      </c>
      <c r="O3570" s="253"/>
      <c r="P3570" s="203"/>
      <c r="Q3570" s="204"/>
      <c r="R3570" s="205"/>
      <c r="S3570" s="206"/>
      <c r="T3570" s="207"/>
      <c r="U3570" s="207"/>
      <c r="V3570" s="208"/>
      <c r="W3570" s="212"/>
    </row>
    <row r="3571" spans="1:23" s="46" customFormat="1" ht="15" customHeight="1">
      <c r="A3571" s="195"/>
      <c r="B3571" s="195"/>
      <c r="C3571" s="3">
        <v>93</v>
      </c>
      <c r="D3571" s="47"/>
      <c r="E3571" s="47"/>
      <c r="F3571" s="191"/>
      <c r="G3571" s="56"/>
      <c r="H3571" s="56"/>
      <c r="I3571" s="56"/>
      <c r="J3571" s="56"/>
      <c r="K3571" s="56"/>
      <c r="L3571" s="56"/>
      <c r="M3571" s="56"/>
      <c r="N3571" s="56"/>
      <c r="O3571" s="289"/>
      <c r="P3571" s="221"/>
      <c r="Q3571" s="221"/>
      <c r="R3571" s="221"/>
      <c r="S3571" s="221"/>
      <c r="T3571" s="221"/>
      <c r="U3571" s="221"/>
      <c r="V3571" s="221"/>
      <c r="W3571" s="221"/>
    </row>
    <row r="3572" spans="1:23" s="35" customFormat="1" ht="15" customHeight="1">
      <c r="A3572" s="2"/>
      <c r="B3572" s="2"/>
      <c r="C3572" s="3">
        <v>93</v>
      </c>
      <c r="D3572" s="47" t="s">
        <v>1976</v>
      </c>
      <c r="E3572" s="47"/>
      <c r="F3572" s="191"/>
      <c r="G3572" s="48"/>
      <c r="H3572" s="48"/>
      <c r="I3572" s="48"/>
      <c r="J3572" s="48"/>
      <c r="K3572" s="48"/>
      <c r="L3572" s="48"/>
      <c r="M3572" s="48"/>
      <c r="N3572" s="48"/>
      <c r="O3572" s="276"/>
      <c r="P3572" s="214">
        <v>2831</v>
      </c>
      <c r="Q3572" s="215">
        <v>93</v>
      </c>
      <c r="R3572" s="216" t="s">
        <v>2630</v>
      </c>
      <c r="S3572" s="217"/>
      <c r="T3572" s="218"/>
      <c r="U3572" s="218"/>
      <c r="V3572" s="219"/>
      <c r="W3572" s="219"/>
    </row>
    <row r="3573" spans="1:23" s="35" customFormat="1" ht="15" customHeight="1">
      <c r="A3573" s="2"/>
      <c r="B3573" s="2"/>
      <c r="C3573" s="3"/>
      <c r="D3573" s="47"/>
      <c r="E3573" s="47"/>
      <c r="F3573" s="191"/>
      <c r="G3573" s="48"/>
      <c r="H3573" s="48"/>
      <c r="I3573" s="48"/>
      <c r="J3573" s="48"/>
      <c r="K3573" s="48"/>
      <c r="L3573" s="48"/>
      <c r="M3573" s="48"/>
      <c r="N3573" s="48"/>
      <c r="O3573" s="276"/>
    </row>
    <row r="3574" spans="1:23" s="35" customFormat="1" ht="15" customHeight="1">
      <c r="A3574" s="2"/>
      <c r="B3574" s="2"/>
      <c r="C3574" s="3"/>
      <c r="D3574" s="47"/>
      <c r="E3574" s="47"/>
      <c r="F3574" s="191"/>
      <c r="G3574" s="48"/>
      <c r="H3574" s="48"/>
      <c r="I3574" s="48"/>
      <c r="J3574" s="48"/>
      <c r="K3574" s="48"/>
      <c r="L3574" s="48"/>
      <c r="M3574" s="48"/>
      <c r="N3574" s="48"/>
      <c r="O3574" s="276"/>
    </row>
    <row r="3575" spans="1:23" s="35" customFormat="1" ht="15" customHeight="1">
      <c r="A3575" s="2"/>
      <c r="B3575" s="2"/>
      <c r="C3575" s="3"/>
      <c r="D3575" s="47"/>
      <c r="E3575" s="47"/>
      <c r="F3575" s="191"/>
      <c r="G3575" s="48"/>
      <c r="H3575" s="48"/>
      <c r="I3575" s="48"/>
      <c r="J3575" s="48"/>
      <c r="K3575" s="48"/>
      <c r="L3575" s="48"/>
      <c r="M3575" s="48"/>
      <c r="N3575" s="48"/>
      <c r="O3575" s="276"/>
    </row>
    <row r="3576" spans="1:23" s="35" customFormat="1" ht="15" customHeight="1">
      <c r="A3576" s="2"/>
      <c r="B3576" s="2"/>
      <c r="C3576" s="3">
        <v>94</v>
      </c>
      <c r="D3576" s="47" t="s">
        <v>2403</v>
      </c>
      <c r="E3576" s="47"/>
      <c r="F3576" s="191"/>
      <c r="G3576" s="48"/>
      <c r="H3576" s="48"/>
      <c r="I3576" s="48"/>
      <c r="J3576" s="48"/>
      <c r="K3576" s="48"/>
      <c r="L3576" s="48"/>
      <c r="M3576" s="48"/>
      <c r="N3576" s="48"/>
      <c r="O3576" s="276"/>
    </row>
    <row r="3577" spans="1:23" s="35" customFormat="1" ht="15" customHeight="1">
      <c r="A3577" s="2"/>
      <c r="B3577" s="2"/>
      <c r="C3577" s="3">
        <v>94</v>
      </c>
      <c r="D3577" s="47"/>
      <c r="E3577" s="47"/>
      <c r="F3577" s="191"/>
      <c r="G3577" s="48"/>
      <c r="H3577" s="48"/>
      <c r="I3577" s="48"/>
      <c r="J3577" s="48"/>
      <c r="K3577" s="48"/>
      <c r="L3577" s="48"/>
      <c r="M3577" s="48"/>
      <c r="N3577" s="48"/>
      <c r="O3577" s="276"/>
    </row>
    <row r="3578" spans="1:23" ht="15" customHeight="1">
      <c r="C3578" s="3">
        <v>94</v>
      </c>
      <c r="D3578" s="54" t="s">
        <v>2874</v>
      </c>
      <c r="E3578" s="54"/>
      <c r="F3578" s="192"/>
      <c r="G3578" s="55"/>
      <c r="H3578" s="55"/>
      <c r="I3578" s="55"/>
      <c r="J3578" s="55"/>
      <c r="K3578" s="55">
        <v>273359.76</v>
      </c>
      <c r="L3578" s="55"/>
      <c r="M3578" s="55">
        <f>K3578</f>
        <v>273359.76</v>
      </c>
      <c r="N3578" s="55">
        <f>+M3596</f>
        <v>-0.23999999999068677</v>
      </c>
      <c r="O3578" s="278"/>
      <c r="P3578" s="203"/>
      <c r="Q3578" s="204"/>
      <c r="R3578" s="205"/>
      <c r="S3578" s="206"/>
      <c r="T3578" s="207"/>
      <c r="U3578" s="207"/>
      <c r="V3578" s="208"/>
      <c r="W3578" s="212"/>
    </row>
    <row r="3579" spans="1:23" s="35" customFormat="1" ht="15" customHeight="1">
      <c r="A3579" s="2"/>
      <c r="B3579" s="2"/>
      <c r="C3579" s="3">
        <v>94</v>
      </c>
      <c r="D3579" s="47"/>
      <c r="E3579" s="47"/>
      <c r="F3579" s="191"/>
      <c r="G3579" s="48"/>
      <c r="H3579" s="48"/>
      <c r="I3579" s="48"/>
      <c r="J3579" s="48"/>
      <c r="K3579" s="48"/>
      <c r="L3579" s="48"/>
      <c r="M3579" s="48"/>
      <c r="N3579" s="48"/>
      <c r="O3579" s="276"/>
    </row>
    <row r="3580" spans="1:23" ht="15" customHeight="1">
      <c r="C3580" s="3">
        <v>94</v>
      </c>
      <c r="D3580" s="47" t="s">
        <v>2240</v>
      </c>
      <c r="G3580" s="26"/>
      <c r="H3580" s="26"/>
      <c r="I3580" s="26"/>
      <c r="J3580" s="26"/>
      <c r="K3580" s="26"/>
      <c r="L3580" s="26"/>
      <c r="M3580" s="26"/>
      <c r="N3580" s="26"/>
      <c r="P3580" s="214">
        <v>2832</v>
      </c>
      <c r="Q3580" s="215">
        <v>94</v>
      </c>
      <c r="R3580" s="216" t="s">
        <v>2610</v>
      </c>
      <c r="S3580" s="217"/>
      <c r="T3580" s="218"/>
      <c r="U3580" s="218"/>
      <c r="V3580" s="219"/>
      <c r="W3580" s="219"/>
    </row>
    <row r="3581" spans="1:23" ht="15" customHeight="1">
      <c r="C3581" s="3">
        <v>94</v>
      </c>
      <c r="G3581" s="26"/>
      <c r="H3581" s="26"/>
      <c r="I3581" s="26"/>
      <c r="J3581" s="26"/>
      <c r="K3581" s="26"/>
      <c r="L3581" s="26"/>
      <c r="M3581" s="26"/>
      <c r="N3581" s="26"/>
      <c r="P3581" s="214">
        <v>2833</v>
      </c>
      <c r="Q3581" s="215">
        <v>94</v>
      </c>
      <c r="R3581" s="216" t="s">
        <v>2611</v>
      </c>
      <c r="S3581" s="217"/>
      <c r="T3581" s="218"/>
      <c r="U3581" s="218"/>
      <c r="V3581" s="219"/>
      <c r="W3581" s="219"/>
    </row>
    <row r="3582" spans="1:23" s="21" customFormat="1" ht="15" customHeight="1">
      <c r="A3582" s="2"/>
      <c r="B3582" s="2" t="s">
        <v>2318</v>
      </c>
      <c r="C3582" s="3">
        <v>94</v>
      </c>
      <c r="D3582" s="54" t="s">
        <v>2216</v>
      </c>
      <c r="E3582" s="54"/>
      <c r="F3582" s="192"/>
      <c r="G3582" s="55">
        <f>+G3584</f>
        <v>23299</v>
      </c>
      <c r="H3582" s="55">
        <f t="shared" ref="H3582:N3582" si="435">+H3584</f>
        <v>16068</v>
      </c>
      <c r="I3582" s="55">
        <f t="shared" si="435"/>
        <v>12836</v>
      </c>
      <c r="J3582" s="55">
        <f t="shared" si="435"/>
        <v>2906</v>
      </c>
      <c r="K3582" s="55">
        <f t="shared" si="435"/>
        <v>3000</v>
      </c>
      <c r="L3582" s="55">
        <f t="shared" si="435"/>
        <v>845</v>
      </c>
      <c r="M3582" s="55">
        <f t="shared" si="435"/>
        <v>845</v>
      </c>
      <c r="N3582" s="55">
        <f t="shared" si="435"/>
        <v>0</v>
      </c>
      <c r="O3582" s="279"/>
      <c r="P3582" s="214">
        <v>2834</v>
      </c>
      <c r="Q3582" s="215">
        <v>94</v>
      </c>
      <c r="R3582" s="216" t="s">
        <v>2612</v>
      </c>
      <c r="S3582" s="217"/>
      <c r="T3582" s="218">
        <v>3000</v>
      </c>
      <c r="U3582" s="218">
        <v>0</v>
      </c>
      <c r="V3582" s="219">
        <v>845.36</v>
      </c>
      <c r="W3582" s="219">
        <v>28.18</v>
      </c>
    </row>
    <row r="3583" spans="1:23" s="57" customFormat="1" ht="15" customHeight="1">
      <c r="A3583" s="5"/>
      <c r="B3583" s="5"/>
      <c r="C3583" s="3">
        <v>94</v>
      </c>
      <c r="D3583" s="54"/>
      <c r="E3583" s="54"/>
      <c r="F3583" s="192"/>
      <c r="G3583" s="55"/>
      <c r="H3583" s="55"/>
      <c r="I3583" s="55"/>
      <c r="J3583" s="55"/>
      <c r="K3583" s="55"/>
      <c r="L3583" s="55"/>
      <c r="M3583" s="55"/>
      <c r="N3583" s="55"/>
      <c r="O3583" s="302"/>
      <c r="P3583" s="220"/>
      <c r="Q3583" s="220"/>
      <c r="R3583" s="220"/>
      <c r="S3583" s="220"/>
      <c r="T3583" s="220"/>
      <c r="U3583" s="220"/>
      <c r="V3583" s="220"/>
      <c r="W3583" s="220"/>
    </row>
    <row r="3584" spans="1:23" s="27" customFormat="1" ht="15" customHeight="1" thickBot="1">
      <c r="A3584" s="2"/>
      <c r="B3584" s="2" t="s">
        <v>2318</v>
      </c>
      <c r="C3584" s="3">
        <v>94</v>
      </c>
      <c r="D3584" s="68" t="str">
        <f>+D3601</f>
        <v>*** TOTAL FUND 94 REVENUES ***</v>
      </c>
      <c r="E3584" s="68"/>
      <c r="F3584" s="68">
        <f>+F3601</f>
        <v>0</v>
      </c>
      <c r="G3584" s="69">
        <f>+G3601</f>
        <v>23299</v>
      </c>
      <c r="H3584" s="69">
        <f t="shared" ref="H3584:N3584" si="436">+H3601</f>
        <v>16068</v>
      </c>
      <c r="I3584" s="69">
        <f t="shared" si="436"/>
        <v>12836</v>
      </c>
      <c r="J3584" s="69">
        <f t="shared" si="436"/>
        <v>2906</v>
      </c>
      <c r="K3584" s="69">
        <f t="shared" si="436"/>
        <v>3000</v>
      </c>
      <c r="L3584" s="69">
        <f t="shared" si="436"/>
        <v>845</v>
      </c>
      <c r="M3584" s="69">
        <f t="shared" si="436"/>
        <v>845</v>
      </c>
      <c r="N3584" s="69">
        <f t="shared" si="436"/>
        <v>0</v>
      </c>
      <c r="O3584" s="281"/>
      <c r="P3584" s="214">
        <v>2835</v>
      </c>
      <c r="Q3584" s="215">
        <v>94</v>
      </c>
      <c r="R3584" s="216" t="s">
        <v>2613</v>
      </c>
      <c r="S3584" s="217"/>
      <c r="T3584" s="218">
        <v>3000</v>
      </c>
      <c r="U3584" s="218">
        <v>0</v>
      </c>
      <c r="V3584" s="219">
        <v>845.36</v>
      </c>
      <c r="W3584" s="219">
        <v>28.18</v>
      </c>
    </row>
    <row r="3585" spans="1:23" s="46" customFormat="1" ht="15" customHeight="1" thickTop="1">
      <c r="A3585" s="5"/>
      <c r="B3585" s="5"/>
      <c r="C3585" s="3">
        <v>94</v>
      </c>
      <c r="D3585" s="47"/>
      <c r="E3585" s="47"/>
      <c r="F3585" s="47"/>
      <c r="G3585" s="56"/>
      <c r="H3585" s="56"/>
      <c r="I3585" s="56"/>
      <c r="J3585" s="56"/>
      <c r="K3585" s="56"/>
      <c r="L3585" s="56"/>
      <c r="M3585" s="56"/>
      <c r="N3585" s="56"/>
      <c r="O3585" s="289"/>
      <c r="P3585" s="221"/>
      <c r="Q3585" s="221"/>
      <c r="R3585" s="221"/>
      <c r="S3585" s="221"/>
      <c r="T3585" s="221"/>
      <c r="U3585" s="221"/>
      <c r="V3585" s="221"/>
      <c r="W3585" s="221"/>
    </row>
    <row r="3586" spans="1:23" ht="15" customHeight="1">
      <c r="C3586" s="3">
        <v>94</v>
      </c>
      <c r="D3586" s="47" t="s">
        <v>1977</v>
      </c>
      <c r="G3586" s="26"/>
      <c r="H3586" s="26"/>
      <c r="I3586" s="26"/>
      <c r="J3586" s="26"/>
      <c r="K3586" s="26"/>
      <c r="L3586" s="26"/>
      <c r="M3586" s="26"/>
      <c r="N3586" s="26"/>
      <c r="P3586" s="214">
        <v>2836</v>
      </c>
      <c r="Q3586" s="215">
        <v>94</v>
      </c>
      <c r="R3586" s="216" t="s">
        <v>2614</v>
      </c>
      <c r="S3586" s="217"/>
      <c r="T3586" s="218"/>
      <c r="U3586" s="218"/>
      <c r="V3586" s="219"/>
      <c r="W3586" s="219"/>
    </row>
    <row r="3587" spans="1:23" ht="15" customHeight="1">
      <c r="C3587" s="3">
        <v>94</v>
      </c>
      <c r="G3587" s="26"/>
      <c r="H3587" s="26"/>
      <c r="I3587" s="26"/>
      <c r="J3587" s="26"/>
      <c r="K3587" s="26"/>
      <c r="L3587" s="26"/>
      <c r="M3587" s="26"/>
      <c r="N3587" s="26"/>
      <c r="P3587" s="214">
        <v>2837</v>
      </c>
      <c r="Q3587" s="215">
        <v>94</v>
      </c>
      <c r="R3587" s="216" t="s">
        <v>2615</v>
      </c>
      <c r="S3587" s="217"/>
      <c r="T3587" s="218"/>
      <c r="U3587" s="218"/>
      <c r="V3587" s="219"/>
      <c r="W3587" s="219"/>
    </row>
    <row r="3588" spans="1:23" ht="15" customHeight="1">
      <c r="B3588" s="2" t="s">
        <v>2318</v>
      </c>
      <c r="C3588" s="3">
        <v>94</v>
      </c>
      <c r="D3588" s="47" t="s">
        <v>1667</v>
      </c>
      <c r="G3588" s="26">
        <f>+G3613</f>
        <v>-30392</v>
      </c>
      <c r="H3588" s="26">
        <f t="shared" ref="H3588:N3588" si="437">+H3613</f>
        <v>259333</v>
      </c>
      <c r="I3588" s="26">
        <f t="shared" si="437"/>
        <v>0</v>
      </c>
      <c r="J3588" s="26">
        <f t="shared" si="437"/>
        <v>0</v>
      </c>
      <c r="K3588" s="26">
        <f t="shared" si="437"/>
        <v>0</v>
      </c>
      <c r="L3588" s="26">
        <f t="shared" si="437"/>
        <v>274205</v>
      </c>
      <c r="M3588" s="26">
        <f t="shared" si="437"/>
        <v>274205</v>
      </c>
      <c r="N3588" s="26">
        <f t="shared" si="437"/>
        <v>0</v>
      </c>
      <c r="P3588" s="214">
        <v>2838</v>
      </c>
      <c r="Q3588" s="215">
        <v>94</v>
      </c>
      <c r="R3588" s="216" t="s">
        <v>1667</v>
      </c>
      <c r="S3588" s="217"/>
      <c r="T3588" s="218">
        <v>0</v>
      </c>
      <c r="U3588" s="218">
        <v>0</v>
      </c>
      <c r="V3588" s="219">
        <v>274205.12</v>
      </c>
      <c r="W3588" s="219">
        <v>0</v>
      </c>
    </row>
    <row r="3589" spans="1:23" ht="15" customHeight="1">
      <c r="C3589" s="3">
        <v>94</v>
      </c>
      <c r="D3589" s="47"/>
      <c r="G3589" s="26"/>
      <c r="H3589" s="26"/>
      <c r="I3589" s="26"/>
      <c r="J3589" s="26"/>
      <c r="K3589" s="26"/>
      <c r="L3589" s="26"/>
      <c r="M3589" s="26"/>
      <c r="N3589" s="26"/>
      <c r="P3589" s="222"/>
      <c r="Q3589" s="222"/>
      <c r="R3589" s="222"/>
      <c r="S3589" s="223"/>
      <c r="T3589" s="223"/>
      <c r="U3589" s="223"/>
      <c r="V3589" s="224"/>
      <c r="W3589" s="224"/>
    </row>
    <row r="3590" spans="1:23" s="43" customFormat="1" ht="15" customHeight="1" thickBot="1">
      <c r="A3590" s="2"/>
      <c r="B3590" s="2" t="s">
        <v>2318</v>
      </c>
      <c r="C3590" s="3">
        <v>94</v>
      </c>
      <c r="D3590" s="68" t="s">
        <v>2000</v>
      </c>
      <c r="E3590" s="326"/>
      <c r="F3590" s="327"/>
      <c r="G3590" s="328">
        <f>+G3621</f>
        <v>-30392</v>
      </c>
      <c r="H3590" s="328">
        <f t="shared" ref="H3590:N3590" si="438">+H3621</f>
        <v>259333</v>
      </c>
      <c r="I3590" s="328">
        <f t="shared" si="438"/>
        <v>200000</v>
      </c>
      <c r="J3590" s="328">
        <f t="shared" si="438"/>
        <v>50000</v>
      </c>
      <c r="K3590" s="328">
        <f t="shared" si="438"/>
        <v>0</v>
      </c>
      <c r="L3590" s="328">
        <f t="shared" si="438"/>
        <v>274205</v>
      </c>
      <c r="M3590" s="328">
        <f t="shared" si="438"/>
        <v>274205</v>
      </c>
      <c r="N3590" s="328">
        <f t="shared" si="438"/>
        <v>0</v>
      </c>
      <c r="O3590" s="288"/>
      <c r="P3590" s="214">
        <v>2839</v>
      </c>
      <c r="Q3590" s="215">
        <v>94</v>
      </c>
      <c r="R3590" s="216" t="s">
        <v>1312</v>
      </c>
      <c r="S3590" s="217"/>
      <c r="T3590" s="218">
        <v>0</v>
      </c>
      <c r="U3590" s="218">
        <v>0</v>
      </c>
      <c r="V3590" s="219">
        <v>0</v>
      </c>
      <c r="W3590" s="219">
        <v>0</v>
      </c>
    </row>
    <row r="3591" spans="1:23" s="49" customFormat="1" ht="15" customHeight="1" thickTop="1">
      <c r="A3591" s="2"/>
      <c r="B3591" s="2"/>
      <c r="C3591" s="3">
        <v>94</v>
      </c>
      <c r="D3591" s="47"/>
      <c r="E3591" s="15"/>
      <c r="F3591" s="105"/>
      <c r="G3591" s="26"/>
      <c r="H3591" s="26"/>
      <c r="I3591" s="26"/>
      <c r="J3591" s="26"/>
      <c r="K3591" s="26"/>
      <c r="L3591" s="26"/>
      <c r="M3591" s="26"/>
      <c r="N3591" s="26"/>
      <c r="O3591" s="275"/>
      <c r="P3591" s="225"/>
      <c r="Q3591" s="225"/>
      <c r="R3591" s="225"/>
      <c r="S3591" s="225"/>
      <c r="T3591" s="225"/>
      <c r="U3591" s="225"/>
      <c r="V3591" s="225"/>
      <c r="W3591" s="225"/>
    </row>
    <row r="3592" spans="1:23" s="37" customFormat="1" ht="15" customHeight="1">
      <c r="A3592" s="2"/>
      <c r="B3592" s="2" t="s">
        <v>2318</v>
      </c>
      <c r="C3592" s="3">
        <v>94</v>
      </c>
      <c r="D3592" s="47" t="str">
        <f>+D3623</f>
        <v>*** TOTAL FUND 94 EXPENSES ***</v>
      </c>
      <c r="E3592" s="47"/>
      <c r="F3592" s="47">
        <f t="shared" ref="F3592:N3592" si="439">+F3623</f>
        <v>0</v>
      </c>
      <c r="G3592" s="56">
        <f t="shared" si="439"/>
        <v>-30392</v>
      </c>
      <c r="H3592" s="56">
        <f t="shared" si="439"/>
        <v>259333</v>
      </c>
      <c r="I3592" s="56">
        <f t="shared" si="439"/>
        <v>200000</v>
      </c>
      <c r="J3592" s="56">
        <f t="shared" si="439"/>
        <v>50000</v>
      </c>
      <c r="K3592" s="56">
        <f t="shared" si="439"/>
        <v>0</v>
      </c>
      <c r="L3592" s="56">
        <f t="shared" si="439"/>
        <v>274205</v>
      </c>
      <c r="M3592" s="56">
        <f t="shared" si="439"/>
        <v>274205</v>
      </c>
      <c r="N3592" s="56">
        <f t="shared" si="439"/>
        <v>0</v>
      </c>
      <c r="O3592" s="307"/>
      <c r="P3592" s="214">
        <v>2840</v>
      </c>
      <c r="Q3592" s="215">
        <v>94</v>
      </c>
      <c r="R3592" s="216" t="s">
        <v>2618</v>
      </c>
      <c r="S3592" s="217"/>
      <c r="T3592" s="218">
        <v>0</v>
      </c>
      <c r="U3592" s="218">
        <v>0</v>
      </c>
      <c r="V3592" s="219">
        <v>274205.12</v>
      </c>
      <c r="W3592" s="219">
        <v>0</v>
      </c>
    </row>
    <row r="3593" spans="1:23" s="46" customFormat="1" ht="15" customHeight="1">
      <c r="A3593" s="5"/>
      <c r="B3593" s="5"/>
      <c r="C3593" s="3">
        <v>94</v>
      </c>
      <c r="D3593" s="47"/>
      <c r="E3593" s="47"/>
      <c r="F3593" s="47"/>
      <c r="G3593" s="56"/>
      <c r="H3593" s="56"/>
      <c r="I3593" s="56"/>
      <c r="J3593" s="56"/>
      <c r="K3593" s="56"/>
      <c r="L3593" s="56"/>
      <c r="M3593" s="56"/>
      <c r="N3593" s="56"/>
      <c r="O3593" s="289"/>
      <c r="P3593" s="221"/>
      <c r="Q3593" s="221"/>
      <c r="R3593" s="221"/>
      <c r="S3593" s="221"/>
      <c r="T3593" s="221"/>
      <c r="U3593" s="221"/>
      <c r="V3593" s="221"/>
      <c r="W3593" s="221"/>
    </row>
    <row r="3594" spans="1:23" s="33" customFormat="1" ht="15" customHeight="1" thickBot="1">
      <c r="A3594" s="2"/>
      <c r="B3594" s="2" t="s">
        <v>2318</v>
      </c>
      <c r="C3594" s="3">
        <v>94</v>
      </c>
      <c r="D3594" s="335" t="str">
        <f>+D3625</f>
        <v>*** FUND 94 REVENUES OVER(UNDER) EXPENSES ***</v>
      </c>
      <c r="E3594" s="336"/>
      <c r="F3594" s="336">
        <f>+F3625</f>
        <v>0</v>
      </c>
      <c r="G3594" s="336">
        <f>+G3625</f>
        <v>53691</v>
      </c>
      <c r="H3594" s="336">
        <f t="shared" ref="H3594:N3594" si="440">+H3625</f>
        <v>-243265</v>
      </c>
      <c r="I3594" s="336">
        <f t="shared" si="440"/>
        <v>-187164</v>
      </c>
      <c r="J3594" s="336">
        <f t="shared" si="440"/>
        <v>-47094</v>
      </c>
      <c r="K3594" s="336">
        <f t="shared" si="440"/>
        <v>3000</v>
      </c>
      <c r="L3594" s="336">
        <f t="shared" si="440"/>
        <v>-273360</v>
      </c>
      <c r="M3594" s="336">
        <f t="shared" si="440"/>
        <v>-273360</v>
      </c>
      <c r="N3594" s="336">
        <f t="shared" si="440"/>
        <v>0</v>
      </c>
      <c r="O3594" s="301"/>
      <c r="P3594" s="214">
        <v>2841</v>
      </c>
      <c r="Q3594" s="215">
        <v>94</v>
      </c>
      <c r="R3594" s="216" t="s">
        <v>2619</v>
      </c>
      <c r="S3594" s="217"/>
      <c r="T3594" s="218">
        <v>3000</v>
      </c>
      <c r="U3594" s="218">
        <v>0</v>
      </c>
      <c r="V3594" s="219">
        <v>-273359.76</v>
      </c>
      <c r="W3594" s="219">
        <v>-111.99</v>
      </c>
    </row>
    <row r="3595" spans="1:23" s="46" customFormat="1" ht="15" customHeight="1" thickTop="1">
      <c r="A3595" s="5"/>
      <c r="B3595" s="5"/>
      <c r="C3595" s="3">
        <v>94</v>
      </c>
      <c r="D3595" s="58"/>
      <c r="E3595" s="56"/>
      <c r="F3595" s="56"/>
      <c r="G3595" s="56"/>
      <c r="H3595" s="56"/>
      <c r="I3595" s="56"/>
      <c r="J3595" s="56"/>
      <c r="K3595" s="56"/>
      <c r="L3595" s="56"/>
      <c r="M3595" s="56"/>
      <c r="N3595" s="56"/>
      <c r="O3595" s="289"/>
      <c r="P3595" s="221"/>
      <c r="Q3595" s="221"/>
      <c r="R3595" s="221"/>
      <c r="S3595" s="221"/>
      <c r="T3595" s="221"/>
      <c r="U3595" s="221"/>
      <c r="V3595" s="221"/>
      <c r="W3595" s="221"/>
    </row>
    <row r="3596" spans="1:23" ht="15" customHeight="1">
      <c r="C3596" s="3">
        <v>94</v>
      </c>
      <c r="D3596" s="54" t="s">
        <v>2875</v>
      </c>
      <c r="E3596" s="54"/>
      <c r="F3596" s="192"/>
      <c r="G3596" s="55"/>
      <c r="H3596" s="55"/>
      <c r="I3596" s="55"/>
      <c r="J3596" s="55"/>
      <c r="K3596" s="55">
        <f>+K3578+K3584-K3592</f>
        <v>276359.76</v>
      </c>
      <c r="L3596" s="55"/>
      <c r="M3596" s="55">
        <f>+M3578+M3584-M3592</f>
        <v>-0.23999999999068677</v>
      </c>
      <c r="N3596" s="55">
        <f>+N3578+N3584-N3592</f>
        <v>-0.23999999999068677</v>
      </c>
      <c r="O3596" s="253"/>
      <c r="P3596" s="203"/>
      <c r="Q3596" s="204"/>
      <c r="R3596" s="205"/>
      <c r="S3596" s="206"/>
      <c r="T3596" s="207"/>
      <c r="U3596" s="207"/>
      <c r="V3596" s="208"/>
      <c r="W3596" s="212"/>
    </row>
    <row r="3597" spans="1:23" s="46" customFormat="1" ht="15" customHeight="1">
      <c r="A3597" s="195"/>
      <c r="B3597" s="195"/>
      <c r="C3597" s="3">
        <v>94</v>
      </c>
      <c r="D3597" s="58"/>
      <c r="E3597" s="56"/>
      <c r="F3597" s="56"/>
      <c r="G3597" s="56"/>
      <c r="H3597" s="56"/>
      <c r="I3597" s="56"/>
      <c r="J3597" s="56"/>
      <c r="K3597" s="56"/>
      <c r="L3597" s="56"/>
      <c r="M3597" s="26"/>
      <c r="N3597" s="26"/>
      <c r="O3597" s="289"/>
      <c r="P3597" s="221"/>
      <c r="Q3597" s="221"/>
      <c r="R3597" s="221"/>
      <c r="S3597" s="221"/>
      <c r="T3597" s="221"/>
      <c r="U3597" s="221"/>
      <c r="V3597" s="221"/>
      <c r="W3597" s="221"/>
    </row>
    <row r="3598" spans="1:23" ht="15" customHeight="1">
      <c r="C3598" s="3">
        <v>94</v>
      </c>
      <c r="D3598" s="15">
        <v>4130</v>
      </c>
      <c r="E3598" s="312" t="s">
        <v>1668</v>
      </c>
      <c r="G3598" s="26">
        <v>0</v>
      </c>
      <c r="H3598" s="26">
        <v>0</v>
      </c>
      <c r="I3598" s="26">
        <v>0</v>
      </c>
      <c r="J3598" s="26">
        <v>0</v>
      </c>
      <c r="K3598" s="26">
        <v>0</v>
      </c>
      <c r="L3598" s="26">
        <v>0</v>
      </c>
      <c r="M3598" s="26">
        <v>0</v>
      </c>
      <c r="N3598" s="26">
        <v>0</v>
      </c>
      <c r="O3598" s="285"/>
      <c r="P3598" s="214">
        <v>2842</v>
      </c>
      <c r="Q3598" s="215">
        <v>94</v>
      </c>
      <c r="R3598" s="216">
        <v>4130</v>
      </c>
      <c r="S3598" s="217" t="s">
        <v>1668</v>
      </c>
      <c r="T3598" s="218">
        <v>0</v>
      </c>
      <c r="U3598" s="218">
        <v>0</v>
      </c>
      <c r="V3598" s="219">
        <v>0</v>
      </c>
      <c r="W3598" s="219">
        <v>0</v>
      </c>
    </row>
    <row r="3599" spans="1:23" ht="15" customHeight="1">
      <c r="C3599" s="3">
        <v>94</v>
      </c>
      <c r="D3599" s="15">
        <v>4330</v>
      </c>
      <c r="E3599" s="312" t="s">
        <v>1669</v>
      </c>
      <c r="G3599" s="26">
        <v>23299</v>
      </c>
      <c r="H3599" s="26">
        <v>16068</v>
      </c>
      <c r="I3599" s="26">
        <v>12836</v>
      </c>
      <c r="J3599" s="26">
        <v>2906</v>
      </c>
      <c r="K3599" s="26">
        <v>3000</v>
      </c>
      <c r="L3599" s="26">
        <v>845</v>
      </c>
      <c r="M3599" s="26">
        <v>845</v>
      </c>
      <c r="N3599" s="26">
        <v>0</v>
      </c>
      <c r="O3599" s="285"/>
      <c r="P3599" s="214">
        <v>2843</v>
      </c>
      <c r="Q3599" s="215">
        <v>94</v>
      </c>
      <c r="R3599" s="216">
        <v>4330</v>
      </c>
      <c r="S3599" s="217" t="s">
        <v>1669</v>
      </c>
      <c r="T3599" s="218">
        <v>3000</v>
      </c>
      <c r="U3599" s="218">
        <v>0</v>
      </c>
      <c r="V3599" s="219">
        <v>845.36</v>
      </c>
      <c r="W3599" s="219">
        <v>28.18</v>
      </c>
    </row>
    <row r="3600" spans="1:23" ht="15" customHeight="1">
      <c r="C3600" s="3">
        <v>94</v>
      </c>
      <c r="E3600" s="14"/>
      <c r="G3600" s="26"/>
      <c r="H3600" s="26"/>
      <c r="I3600" s="26"/>
      <c r="J3600" s="26"/>
      <c r="K3600" s="26"/>
      <c r="L3600" s="26"/>
      <c r="M3600" s="26"/>
      <c r="N3600" s="26"/>
      <c r="P3600" s="222"/>
      <c r="Q3600" s="222"/>
      <c r="R3600" s="222"/>
      <c r="S3600" s="223"/>
      <c r="T3600" s="223"/>
      <c r="U3600" s="223"/>
      <c r="V3600" s="224"/>
      <c r="W3600" s="224"/>
    </row>
    <row r="3601" spans="1:23" s="27" customFormat="1" ht="15" customHeight="1" thickBot="1">
      <c r="A3601" s="2"/>
      <c r="B3601" s="2" t="s">
        <v>2317</v>
      </c>
      <c r="C3601" s="3">
        <v>94</v>
      </c>
      <c r="D3601" s="68" t="s">
        <v>2314</v>
      </c>
      <c r="E3601" s="68"/>
      <c r="F3601" s="320"/>
      <c r="G3601" s="69">
        <f>SUM(G3597:G3600)</f>
        <v>23299</v>
      </c>
      <c r="H3601" s="69">
        <f t="shared" ref="H3601:N3601" si="441">SUM(H3597:H3600)</f>
        <v>16068</v>
      </c>
      <c r="I3601" s="69">
        <f t="shared" si="441"/>
        <v>12836</v>
      </c>
      <c r="J3601" s="69">
        <f t="shared" si="441"/>
        <v>2906</v>
      </c>
      <c r="K3601" s="69">
        <f t="shared" si="441"/>
        <v>3000</v>
      </c>
      <c r="L3601" s="69">
        <f t="shared" si="441"/>
        <v>845</v>
      </c>
      <c r="M3601" s="69">
        <f t="shared" si="441"/>
        <v>845</v>
      </c>
      <c r="N3601" s="69">
        <f t="shared" si="441"/>
        <v>0</v>
      </c>
      <c r="O3601" s="254"/>
      <c r="P3601" s="214">
        <v>2844</v>
      </c>
      <c r="Q3601" s="215">
        <v>94</v>
      </c>
      <c r="R3601" s="216" t="s">
        <v>2620</v>
      </c>
      <c r="S3601" s="217"/>
      <c r="T3601" s="218">
        <v>3000</v>
      </c>
      <c r="U3601" s="218">
        <v>0</v>
      </c>
      <c r="V3601" s="219">
        <v>845.36</v>
      </c>
      <c r="W3601" s="219">
        <v>28.18</v>
      </c>
    </row>
    <row r="3602" spans="1:23" s="46" customFormat="1" ht="15" customHeight="1" thickTop="1">
      <c r="A3602" s="5"/>
      <c r="B3602" s="5"/>
      <c r="C3602" s="3">
        <v>94</v>
      </c>
      <c r="D3602" s="47"/>
      <c r="E3602" s="47"/>
      <c r="F3602" s="191"/>
      <c r="G3602" s="56"/>
      <c r="H3602" s="56"/>
      <c r="I3602" s="56"/>
      <c r="J3602" s="56"/>
      <c r="K3602" s="56"/>
      <c r="L3602" s="56"/>
      <c r="M3602" s="56"/>
      <c r="N3602" s="56"/>
      <c r="O3602" s="289"/>
      <c r="P3602" s="221"/>
      <c r="Q3602" s="221"/>
      <c r="R3602" s="221"/>
      <c r="S3602" s="221"/>
      <c r="T3602" s="221"/>
      <c r="U3602" s="221"/>
      <c r="V3602" s="221"/>
      <c r="W3602" s="221"/>
    </row>
    <row r="3603" spans="1:23" ht="15" customHeight="1">
      <c r="C3603" s="3">
        <v>94</v>
      </c>
      <c r="D3603" s="47" t="s">
        <v>1975</v>
      </c>
      <c r="G3603" s="26"/>
      <c r="H3603" s="26"/>
      <c r="I3603" s="26"/>
      <c r="J3603" s="26"/>
      <c r="K3603" s="26"/>
      <c r="L3603" s="26"/>
      <c r="M3603" s="26"/>
      <c r="N3603" s="26"/>
      <c r="P3603" s="214">
        <v>2845</v>
      </c>
      <c r="Q3603" s="215">
        <v>94</v>
      </c>
      <c r="R3603" s="216" t="s">
        <v>245</v>
      </c>
      <c r="S3603" s="217"/>
      <c r="T3603" s="218"/>
      <c r="U3603" s="218"/>
      <c r="V3603" s="219"/>
      <c r="W3603" s="219"/>
    </row>
    <row r="3604" spans="1:23" ht="15" customHeight="1">
      <c r="C3604" s="3">
        <v>94</v>
      </c>
      <c r="G3604" s="26"/>
      <c r="H3604" s="26"/>
      <c r="I3604" s="26"/>
      <c r="J3604" s="26"/>
      <c r="K3604" s="26"/>
      <c r="L3604" s="26"/>
      <c r="M3604" s="26"/>
      <c r="N3604" s="26"/>
      <c r="P3604" s="214">
        <v>2846</v>
      </c>
      <c r="Q3604" s="215">
        <v>94</v>
      </c>
      <c r="R3604" s="216" t="s">
        <v>2628</v>
      </c>
      <c r="S3604" s="217"/>
      <c r="T3604" s="218"/>
      <c r="U3604" s="218"/>
      <c r="V3604" s="219"/>
      <c r="W3604" s="219"/>
    </row>
    <row r="3605" spans="1:23" ht="15" customHeight="1">
      <c r="C3605" s="3">
        <v>94</v>
      </c>
      <c r="D3605" s="15" t="s">
        <v>1670</v>
      </c>
      <c r="E3605" s="312" t="s">
        <v>1671</v>
      </c>
      <c r="G3605" s="26">
        <v>0</v>
      </c>
      <c r="H3605" s="26">
        <v>51038</v>
      </c>
      <c r="I3605" s="26">
        <v>0</v>
      </c>
      <c r="J3605" s="26">
        <v>0</v>
      </c>
      <c r="K3605" s="26">
        <v>0</v>
      </c>
      <c r="L3605" s="26">
        <v>834</v>
      </c>
      <c r="M3605" s="26">
        <v>834</v>
      </c>
      <c r="N3605" s="26">
        <v>0</v>
      </c>
      <c r="O3605" s="285"/>
      <c r="P3605" s="214">
        <v>2847</v>
      </c>
      <c r="Q3605" s="215">
        <v>94</v>
      </c>
      <c r="R3605" s="216" t="s">
        <v>1670</v>
      </c>
      <c r="S3605" s="217" t="s">
        <v>1671</v>
      </c>
      <c r="T3605" s="218">
        <v>0</v>
      </c>
      <c r="U3605" s="218">
        <v>0</v>
      </c>
      <c r="V3605" s="219">
        <v>833.8</v>
      </c>
      <c r="W3605" s="219">
        <v>0</v>
      </c>
    </row>
    <row r="3606" spans="1:23" ht="15" customHeight="1">
      <c r="C3606" s="3">
        <v>94</v>
      </c>
      <c r="D3606" s="15" t="s">
        <v>1672</v>
      </c>
      <c r="E3606" s="312" t="s">
        <v>1673</v>
      </c>
      <c r="G3606" s="26">
        <v>-60715</v>
      </c>
      <c r="H3606" s="26">
        <v>31926</v>
      </c>
      <c r="I3606" s="26">
        <v>0</v>
      </c>
      <c r="J3606" s="26">
        <v>0</v>
      </c>
      <c r="K3606" s="26">
        <v>0</v>
      </c>
      <c r="L3606" s="26">
        <v>8794</v>
      </c>
      <c r="M3606" s="26">
        <v>8794</v>
      </c>
      <c r="N3606" s="26">
        <v>0</v>
      </c>
      <c r="O3606" s="285"/>
      <c r="P3606" s="214">
        <v>2848</v>
      </c>
      <c r="Q3606" s="215">
        <v>94</v>
      </c>
      <c r="R3606" s="216" t="s">
        <v>1672</v>
      </c>
      <c r="S3606" s="217" t="s">
        <v>1673</v>
      </c>
      <c r="T3606" s="218">
        <v>0</v>
      </c>
      <c r="U3606" s="218">
        <v>0</v>
      </c>
      <c r="V3606" s="219">
        <v>8794.2999999999993</v>
      </c>
      <c r="W3606" s="219">
        <v>0</v>
      </c>
    </row>
    <row r="3607" spans="1:23" ht="15" customHeight="1">
      <c r="C3607" s="3">
        <v>94</v>
      </c>
      <c r="D3607" s="15" t="s">
        <v>1674</v>
      </c>
      <c r="E3607" s="312" t="s">
        <v>1675</v>
      </c>
      <c r="G3607" s="26">
        <v>0</v>
      </c>
      <c r="H3607" s="26">
        <v>0</v>
      </c>
      <c r="I3607" s="26">
        <v>0</v>
      </c>
      <c r="J3607" s="26">
        <v>0</v>
      </c>
      <c r="K3607" s="26">
        <v>0</v>
      </c>
      <c r="L3607" s="26">
        <v>0</v>
      </c>
      <c r="M3607" s="26">
        <v>0</v>
      </c>
      <c r="N3607" s="26">
        <v>0</v>
      </c>
      <c r="O3607" s="285"/>
      <c r="P3607" s="214">
        <v>2849</v>
      </c>
      <c r="Q3607" s="215">
        <v>94</v>
      </c>
      <c r="R3607" s="216" t="s">
        <v>1674</v>
      </c>
      <c r="S3607" s="217" t="s">
        <v>1675</v>
      </c>
      <c r="T3607" s="218">
        <v>0</v>
      </c>
      <c r="U3607" s="218">
        <v>0</v>
      </c>
      <c r="V3607" s="219">
        <v>0</v>
      </c>
      <c r="W3607" s="219">
        <v>0</v>
      </c>
    </row>
    <row r="3608" spans="1:23" ht="15" customHeight="1">
      <c r="C3608" s="3">
        <v>94</v>
      </c>
      <c r="D3608" s="15" t="s">
        <v>1676</v>
      </c>
      <c r="E3608" s="312" t="s">
        <v>1677</v>
      </c>
      <c r="G3608" s="26">
        <v>0</v>
      </c>
      <c r="H3608" s="26">
        <v>171419</v>
      </c>
      <c r="I3608" s="26">
        <v>0</v>
      </c>
      <c r="J3608" s="26">
        <v>0</v>
      </c>
      <c r="K3608" s="26">
        <v>0</v>
      </c>
      <c r="L3608" s="26">
        <v>264577</v>
      </c>
      <c r="M3608" s="26">
        <v>264577</v>
      </c>
      <c r="N3608" s="26">
        <v>0</v>
      </c>
      <c r="O3608" s="285"/>
      <c r="P3608" s="214">
        <v>2850</v>
      </c>
      <c r="Q3608" s="215">
        <v>94</v>
      </c>
      <c r="R3608" s="216" t="s">
        <v>1676</v>
      </c>
      <c r="S3608" s="217" t="s">
        <v>1677</v>
      </c>
      <c r="T3608" s="218">
        <v>0</v>
      </c>
      <c r="U3608" s="218">
        <v>0</v>
      </c>
      <c r="V3608" s="219">
        <v>264577.02</v>
      </c>
      <c r="W3608" s="219">
        <v>0</v>
      </c>
    </row>
    <row r="3609" spans="1:23" ht="15" customHeight="1">
      <c r="C3609" s="3">
        <v>94</v>
      </c>
      <c r="D3609" s="15" t="s">
        <v>1678</v>
      </c>
      <c r="E3609" s="312" t="s">
        <v>1679</v>
      </c>
      <c r="G3609" s="26">
        <v>30323</v>
      </c>
      <c r="H3609" s="26">
        <v>4950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85"/>
      <c r="P3609" s="214">
        <v>2851</v>
      </c>
      <c r="Q3609" s="215">
        <v>94</v>
      </c>
      <c r="R3609" s="216" t="s">
        <v>1678</v>
      </c>
      <c r="S3609" s="217" t="s">
        <v>1679</v>
      </c>
      <c r="T3609" s="218">
        <v>0</v>
      </c>
      <c r="U3609" s="218">
        <v>0</v>
      </c>
      <c r="V3609" s="219">
        <v>0</v>
      </c>
      <c r="W3609" s="219">
        <v>0</v>
      </c>
    </row>
    <row r="3610" spans="1:23" ht="15" customHeight="1">
      <c r="C3610" s="3">
        <v>94</v>
      </c>
      <c r="G3610" s="26"/>
      <c r="H3610" s="26"/>
      <c r="I3610" s="26"/>
      <c r="J3610" s="26"/>
      <c r="K3610" s="26"/>
      <c r="L3610" s="26"/>
      <c r="M3610" s="26"/>
      <c r="N3610" s="26"/>
      <c r="P3610" s="214">
        <v>2852</v>
      </c>
      <c r="Q3610" s="215">
        <v>94</v>
      </c>
      <c r="R3610" s="216" t="s">
        <v>2623</v>
      </c>
      <c r="S3610" s="217"/>
      <c r="T3610" s="218"/>
      <c r="U3610" s="218"/>
      <c r="V3610" s="219"/>
      <c r="W3610" s="219"/>
    </row>
    <row r="3611" spans="1:23" s="24" customFormat="1" ht="15" customHeight="1">
      <c r="A3611" s="2" t="s">
        <v>245</v>
      </c>
      <c r="B3611" s="2" t="s">
        <v>2317</v>
      </c>
      <c r="C3611" s="3">
        <v>94</v>
      </c>
      <c r="D3611" s="323" t="s">
        <v>1971</v>
      </c>
      <c r="E3611" s="323"/>
      <c r="F3611" s="324"/>
      <c r="G3611" s="325">
        <f>SUM(G3603:G3610)</f>
        <v>-30392</v>
      </c>
      <c r="H3611" s="325">
        <f t="shared" ref="H3611:N3611" si="442">SUM(H3603:H3610)</f>
        <v>259333</v>
      </c>
      <c r="I3611" s="325">
        <f t="shared" si="442"/>
        <v>0</v>
      </c>
      <c r="J3611" s="325">
        <f t="shared" si="442"/>
        <v>0</v>
      </c>
      <c r="K3611" s="325">
        <f t="shared" si="442"/>
        <v>0</v>
      </c>
      <c r="L3611" s="325">
        <f t="shared" si="442"/>
        <v>274205</v>
      </c>
      <c r="M3611" s="325">
        <f t="shared" si="442"/>
        <v>274205</v>
      </c>
      <c r="N3611" s="325">
        <f t="shared" si="442"/>
        <v>0</v>
      </c>
      <c r="O3611" s="292"/>
      <c r="P3611" s="214">
        <v>2853</v>
      </c>
      <c r="Q3611" s="215">
        <v>94</v>
      </c>
      <c r="R3611" s="216" t="s">
        <v>245</v>
      </c>
      <c r="S3611" s="217"/>
      <c r="T3611" s="218">
        <v>0</v>
      </c>
      <c r="U3611" s="218">
        <v>0</v>
      </c>
      <c r="V3611" s="219">
        <v>274205.12</v>
      </c>
      <c r="W3611" s="219">
        <v>0</v>
      </c>
    </row>
    <row r="3612" spans="1:23" ht="15" customHeight="1">
      <c r="C3612" s="3">
        <v>94</v>
      </c>
      <c r="G3612" s="26"/>
      <c r="H3612" s="26"/>
      <c r="I3612" s="26"/>
      <c r="J3612" s="26"/>
      <c r="K3612" s="26"/>
      <c r="L3612" s="26"/>
      <c r="M3612" s="26"/>
      <c r="N3612" s="26"/>
      <c r="P3612" s="214">
        <v>2854</v>
      </c>
      <c r="Q3612" s="215">
        <v>94</v>
      </c>
      <c r="R3612" s="216" t="s">
        <v>2623</v>
      </c>
      <c r="S3612" s="217"/>
      <c r="T3612" s="218"/>
      <c r="U3612" s="218"/>
      <c r="V3612" s="219"/>
      <c r="W3612" s="219"/>
    </row>
    <row r="3613" spans="1:23" ht="15" customHeight="1">
      <c r="B3613" s="2" t="s">
        <v>2318</v>
      </c>
      <c r="C3613" s="3">
        <v>94</v>
      </c>
      <c r="D3613" s="47" t="s">
        <v>1667</v>
      </c>
      <c r="G3613" s="26">
        <f>SUM(G3611:G3612)</f>
        <v>-30392</v>
      </c>
      <c r="H3613" s="26">
        <f t="shared" ref="H3613:N3613" si="443">SUM(H3611:H3612)</f>
        <v>259333</v>
      </c>
      <c r="I3613" s="26">
        <f t="shared" si="443"/>
        <v>0</v>
      </c>
      <c r="J3613" s="26">
        <f t="shared" si="443"/>
        <v>0</v>
      </c>
      <c r="K3613" s="26">
        <f t="shared" si="443"/>
        <v>0</v>
      </c>
      <c r="L3613" s="26">
        <f t="shared" si="443"/>
        <v>274205</v>
      </c>
      <c r="M3613" s="26">
        <f t="shared" si="443"/>
        <v>274205</v>
      </c>
      <c r="N3613" s="26">
        <f t="shared" si="443"/>
        <v>0</v>
      </c>
      <c r="P3613" s="214">
        <v>2855</v>
      </c>
      <c r="Q3613" s="215">
        <v>94</v>
      </c>
      <c r="R3613" s="216" t="s">
        <v>1667</v>
      </c>
      <c r="S3613" s="217"/>
      <c r="T3613" s="218">
        <v>0</v>
      </c>
      <c r="U3613" s="218">
        <v>0</v>
      </c>
      <c r="V3613" s="219">
        <v>274205.12</v>
      </c>
      <c r="W3613" s="219">
        <v>0</v>
      </c>
    </row>
    <row r="3614" spans="1:23" ht="15" customHeight="1">
      <c r="C3614" s="3">
        <v>94</v>
      </c>
      <c r="D3614" s="47"/>
      <c r="G3614" s="26"/>
      <c r="H3614" s="26"/>
      <c r="I3614" s="26"/>
      <c r="J3614" s="26"/>
      <c r="K3614" s="26"/>
      <c r="L3614" s="26"/>
      <c r="M3614" s="26"/>
      <c r="N3614" s="26"/>
      <c r="P3614" s="222"/>
      <c r="Q3614" s="222"/>
      <c r="R3614" s="222"/>
      <c r="S3614" s="223"/>
      <c r="T3614" s="223"/>
      <c r="U3614" s="223"/>
      <c r="V3614" s="224"/>
      <c r="W3614" s="224"/>
    </row>
    <row r="3615" spans="1:23" ht="15" customHeight="1">
      <c r="C3615" s="3">
        <v>94</v>
      </c>
      <c r="D3615" s="15" t="s">
        <v>2414</v>
      </c>
      <c r="G3615" s="26"/>
      <c r="H3615" s="26"/>
      <c r="I3615" s="26"/>
      <c r="J3615" s="26"/>
      <c r="K3615" s="26"/>
      <c r="L3615" s="26"/>
      <c r="M3615" s="26"/>
      <c r="N3615" s="26"/>
      <c r="P3615" s="214">
        <v>2856</v>
      </c>
      <c r="Q3615" s="215">
        <v>94</v>
      </c>
      <c r="R3615" s="216" t="s">
        <v>2633</v>
      </c>
      <c r="S3615" s="217"/>
      <c r="T3615" s="218"/>
      <c r="U3615" s="218"/>
      <c r="V3615" s="219"/>
      <c r="W3615" s="219"/>
    </row>
    <row r="3616" spans="1:23" ht="15" customHeight="1">
      <c r="C3616" s="3">
        <v>94</v>
      </c>
      <c r="G3616" s="26"/>
      <c r="H3616" s="26"/>
      <c r="I3616" s="26"/>
      <c r="J3616" s="26"/>
      <c r="K3616" s="26"/>
      <c r="L3616" s="26"/>
      <c r="M3616" s="26"/>
      <c r="N3616" s="26"/>
      <c r="P3616" s="214">
        <v>2857</v>
      </c>
      <c r="Q3616" s="215">
        <v>94</v>
      </c>
      <c r="R3616" s="216" t="s">
        <v>2634</v>
      </c>
      <c r="S3616" s="217"/>
      <c r="T3616" s="218"/>
      <c r="U3616" s="218"/>
      <c r="V3616" s="219"/>
      <c r="W3616" s="219"/>
    </row>
    <row r="3617" spans="1:23" ht="15" customHeight="1">
      <c r="C3617" s="3">
        <v>94</v>
      </c>
      <c r="D3617" s="15" t="s">
        <v>1661</v>
      </c>
      <c r="E3617" s="312" t="s">
        <v>2574</v>
      </c>
      <c r="G3617" s="26">
        <v>0</v>
      </c>
      <c r="H3617" s="26">
        <v>0</v>
      </c>
      <c r="I3617" s="26">
        <v>200000</v>
      </c>
      <c r="J3617" s="26">
        <v>50000</v>
      </c>
      <c r="K3617" s="26">
        <v>0</v>
      </c>
      <c r="L3617" s="26">
        <v>0</v>
      </c>
      <c r="M3617" s="26">
        <v>0</v>
      </c>
      <c r="N3617" s="26">
        <v>0</v>
      </c>
      <c r="O3617" s="285"/>
      <c r="P3617" s="214">
        <v>2858</v>
      </c>
      <c r="Q3617" s="215">
        <v>94</v>
      </c>
      <c r="R3617" s="216" t="s">
        <v>1661</v>
      </c>
      <c r="S3617" s="217" t="s">
        <v>2574</v>
      </c>
      <c r="T3617" s="218">
        <v>0</v>
      </c>
      <c r="U3617" s="218">
        <v>0</v>
      </c>
      <c r="V3617" s="219">
        <v>0</v>
      </c>
      <c r="W3617" s="219">
        <v>0</v>
      </c>
    </row>
    <row r="3618" spans="1:23" ht="15" customHeight="1">
      <c r="C3618" s="3">
        <v>94</v>
      </c>
      <c r="G3618" s="26"/>
      <c r="H3618" s="26"/>
      <c r="I3618" s="26"/>
      <c r="J3618" s="26"/>
      <c r="K3618" s="26"/>
      <c r="L3618" s="26"/>
      <c r="M3618" s="26"/>
      <c r="N3618" s="26"/>
      <c r="P3618" s="214">
        <v>2859</v>
      </c>
      <c r="Q3618" s="215">
        <v>94</v>
      </c>
      <c r="R3618" s="216" t="s">
        <v>2623</v>
      </c>
      <c r="S3618" s="217"/>
      <c r="T3618" s="218"/>
      <c r="U3618" s="218"/>
      <c r="V3618" s="219"/>
      <c r="W3618" s="219"/>
    </row>
    <row r="3619" spans="1:23" s="64" customFormat="1" ht="15" customHeight="1">
      <c r="A3619" s="64" t="s">
        <v>2411</v>
      </c>
      <c r="B3619" s="64" t="s">
        <v>2317</v>
      </c>
      <c r="C3619" s="3">
        <v>94</v>
      </c>
      <c r="D3619" s="323" t="s">
        <v>2414</v>
      </c>
      <c r="E3619" s="323"/>
      <c r="F3619" s="324"/>
      <c r="G3619" s="325">
        <f>SUM(G3615:G3618)</f>
        <v>0</v>
      </c>
      <c r="H3619" s="325">
        <f t="shared" ref="H3619:N3619" si="444">SUM(H3615:H3618)</f>
        <v>0</v>
      </c>
      <c r="I3619" s="325">
        <f t="shared" si="444"/>
        <v>200000</v>
      </c>
      <c r="J3619" s="325">
        <f t="shared" si="444"/>
        <v>50000</v>
      </c>
      <c r="K3619" s="325">
        <f t="shared" si="444"/>
        <v>0</v>
      </c>
      <c r="L3619" s="325">
        <f t="shared" si="444"/>
        <v>0</v>
      </c>
      <c r="M3619" s="325">
        <f t="shared" si="444"/>
        <v>0</v>
      </c>
      <c r="N3619" s="325">
        <f t="shared" si="444"/>
        <v>0</v>
      </c>
      <c r="O3619" s="308"/>
      <c r="P3619" s="214">
        <v>2860</v>
      </c>
      <c r="Q3619" s="215">
        <v>94</v>
      </c>
      <c r="R3619" s="216" t="s">
        <v>2633</v>
      </c>
      <c r="S3619" s="217"/>
      <c r="T3619" s="218">
        <v>0</v>
      </c>
      <c r="U3619" s="218">
        <v>0</v>
      </c>
      <c r="V3619" s="219">
        <v>0</v>
      </c>
      <c r="W3619" s="219">
        <v>0</v>
      </c>
    </row>
    <row r="3620" spans="1:23" ht="15" customHeight="1">
      <c r="C3620" s="3">
        <v>94</v>
      </c>
      <c r="G3620" s="26"/>
      <c r="H3620" s="26"/>
      <c r="I3620" s="26"/>
      <c r="J3620" s="26"/>
      <c r="K3620" s="26"/>
      <c r="L3620" s="26"/>
      <c r="M3620" s="26"/>
      <c r="N3620" s="26"/>
      <c r="P3620" s="214">
        <v>2861</v>
      </c>
      <c r="Q3620" s="215">
        <v>94</v>
      </c>
      <c r="R3620" s="216" t="s">
        <v>2623</v>
      </c>
      <c r="S3620" s="217"/>
      <c r="T3620" s="218"/>
      <c r="U3620" s="218"/>
      <c r="V3620" s="219"/>
      <c r="W3620" s="219"/>
    </row>
    <row r="3621" spans="1:23" s="43" customFormat="1" ht="15" customHeight="1" thickBot="1">
      <c r="A3621" s="2"/>
      <c r="B3621" s="2" t="s">
        <v>2317</v>
      </c>
      <c r="C3621" s="3">
        <v>94</v>
      </c>
      <c r="D3621" s="68" t="s">
        <v>2000</v>
      </c>
      <c r="E3621" s="326"/>
      <c r="F3621" s="327"/>
      <c r="G3621" s="328">
        <f>+G3619+G3611</f>
        <v>-30392</v>
      </c>
      <c r="H3621" s="328">
        <f t="shared" ref="H3621:N3621" si="445">+H3619+H3611</f>
        <v>259333</v>
      </c>
      <c r="I3621" s="328">
        <f t="shared" si="445"/>
        <v>200000</v>
      </c>
      <c r="J3621" s="328">
        <f t="shared" si="445"/>
        <v>50000</v>
      </c>
      <c r="K3621" s="328">
        <f t="shared" si="445"/>
        <v>0</v>
      </c>
      <c r="L3621" s="328">
        <f t="shared" si="445"/>
        <v>274205</v>
      </c>
      <c r="M3621" s="328">
        <f t="shared" si="445"/>
        <v>274205</v>
      </c>
      <c r="N3621" s="328">
        <f t="shared" si="445"/>
        <v>0</v>
      </c>
      <c r="O3621" s="288"/>
      <c r="P3621" s="214">
        <v>2862</v>
      </c>
      <c r="Q3621" s="215">
        <v>94</v>
      </c>
      <c r="R3621" s="216" t="s">
        <v>1312</v>
      </c>
      <c r="S3621" s="217"/>
      <c r="T3621" s="218">
        <v>0</v>
      </c>
      <c r="U3621" s="218">
        <v>0</v>
      </c>
      <c r="V3621" s="219">
        <v>0</v>
      </c>
      <c r="W3621" s="219">
        <v>0</v>
      </c>
    </row>
    <row r="3622" spans="1:23" s="49" customFormat="1" ht="15" customHeight="1" thickTop="1">
      <c r="A3622" s="2"/>
      <c r="B3622" s="2"/>
      <c r="C3622" s="3">
        <v>94</v>
      </c>
      <c r="D3622" s="47"/>
      <c r="E3622" s="15"/>
      <c r="F3622" s="105"/>
      <c r="G3622" s="26"/>
      <c r="H3622" s="26"/>
      <c r="I3622" s="26"/>
      <c r="J3622" s="26"/>
      <c r="K3622" s="26"/>
      <c r="L3622" s="26"/>
      <c r="M3622" s="25"/>
      <c r="N3622" s="25"/>
      <c r="O3622" s="299"/>
      <c r="P3622" s="225"/>
      <c r="Q3622" s="225"/>
      <c r="R3622" s="225"/>
      <c r="S3622" s="225"/>
      <c r="T3622" s="225"/>
      <c r="U3622" s="225"/>
      <c r="V3622" s="225"/>
      <c r="W3622" s="225"/>
    </row>
    <row r="3623" spans="1:23" s="31" customFormat="1" ht="15" customHeight="1">
      <c r="A3623" s="2"/>
      <c r="B3623" s="2" t="s">
        <v>2317</v>
      </c>
      <c r="C3623" s="3">
        <v>94</v>
      </c>
      <c r="D3623" s="47" t="s">
        <v>2876</v>
      </c>
      <c r="E3623" s="47"/>
      <c r="F3623" s="191"/>
      <c r="G3623" s="56">
        <f>SUM(G3621:G3622)</f>
        <v>-30392</v>
      </c>
      <c r="H3623" s="56">
        <f t="shared" ref="H3623:N3623" si="446">SUM(H3621:H3622)</f>
        <v>259333</v>
      </c>
      <c r="I3623" s="56">
        <f t="shared" si="446"/>
        <v>200000</v>
      </c>
      <c r="J3623" s="56">
        <f t="shared" si="446"/>
        <v>50000</v>
      </c>
      <c r="K3623" s="56">
        <f t="shared" si="446"/>
        <v>0</v>
      </c>
      <c r="L3623" s="56">
        <f t="shared" si="446"/>
        <v>274205</v>
      </c>
      <c r="M3623" s="56">
        <f t="shared" si="446"/>
        <v>274205</v>
      </c>
      <c r="N3623" s="56">
        <f t="shared" si="446"/>
        <v>0</v>
      </c>
      <c r="O3623" s="305"/>
      <c r="P3623" s="214">
        <v>2863</v>
      </c>
      <c r="Q3623" s="215">
        <v>94</v>
      </c>
      <c r="R3623" s="216" t="s">
        <v>2618</v>
      </c>
      <c r="S3623" s="217"/>
      <c r="T3623" s="218">
        <v>0</v>
      </c>
      <c r="U3623" s="218">
        <v>0</v>
      </c>
      <c r="V3623" s="219">
        <v>274205.12</v>
      </c>
      <c r="W3623" s="219">
        <v>0</v>
      </c>
    </row>
    <row r="3624" spans="1:23" s="46" customFormat="1" ht="15" customHeight="1">
      <c r="A3624" s="5"/>
      <c r="B3624" s="5"/>
      <c r="C3624" s="3">
        <v>94</v>
      </c>
      <c r="D3624" s="47"/>
      <c r="E3624" s="47"/>
      <c r="F3624" s="191"/>
      <c r="G3624" s="56"/>
      <c r="H3624" s="56"/>
      <c r="I3624" s="56"/>
      <c r="J3624" s="56"/>
      <c r="K3624" s="56"/>
      <c r="L3624" s="56"/>
      <c r="M3624" s="56"/>
      <c r="N3624" s="56"/>
      <c r="O3624" s="289"/>
      <c r="P3624" s="221"/>
      <c r="Q3624" s="221"/>
      <c r="R3624" s="221"/>
      <c r="S3624" s="221"/>
      <c r="T3624" s="221"/>
      <c r="U3624" s="221"/>
      <c r="V3624" s="221"/>
      <c r="W3624" s="221"/>
    </row>
    <row r="3625" spans="1:23" s="33" customFormat="1" ht="15" customHeight="1" thickBot="1">
      <c r="A3625" s="2"/>
      <c r="B3625" s="2" t="s">
        <v>2317</v>
      </c>
      <c r="C3625" s="3">
        <v>94</v>
      </c>
      <c r="D3625" s="329" t="s">
        <v>2266</v>
      </c>
      <c r="E3625" s="329"/>
      <c r="F3625" s="330"/>
      <c r="G3625" s="336">
        <f>+G3601-G3623</f>
        <v>53691</v>
      </c>
      <c r="H3625" s="336">
        <f t="shared" ref="H3625:N3625" si="447">+H3601-H3623</f>
        <v>-243265</v>
      </c>
      <c r="I3625" s="336">
        <f t="shared" si="447"/>
        <v>-187164</v>
      </c>
      <c r="J3625" s="336">
        <f t="shared" si="447"/>
        <v>-47094</v>
      </c>
      <c r="K3625" s="336">
        <f t="shared" si="447"/>
        <v>3000</v>
      </c>
      <c r="L3625" s="336">
        <f t="shared" si="447"/>
        <v>-273360</v>
      </c>
      <c r="M3625" s="336">
        <f t="shared" si="447"/>
        <v>-273360</v>
      </c>
      <c r="N3625" s="336">
        <f t="shared" si="447"/>
        <v>0</v>
      </c>
      <c r="O3625" s="301"/>
      <c r="P3625" s="214">
        <v>2864</v>
      </c>
      <c r="Q3625" s="215">
        <v>94</v>
      </c>
      <c r="R3625" s="216" t="s">
        <v>2619</v>
      </c>
      <c r="S3625" s="217"/>
      <c r="T3625" s="218">
        <v>3000</v>
      </c>
      <c r="U3625" s="218">
        <v>0</v>
      </c>
      <c r="V3625" s="219">
        <v>-273359.76</v>
      </c>
      <c r="W3625" s="219">
        <v>0</v>
      </c>
    </row>
    <row r="3626" spans="1:23" s="46" customFormat="1" ht="15" customHeight="1" thickTop="1">
      <c r="A3626" s="5"/>
      <c r="B3626" s="5"/>
      <c r="C3626" s="3">
        <v>94</v>
      </c>
      <c r="D3626" s="47"/>
      <c r="E3626" s="47"/>
      <c r="F3626" s="191"/>
      <c r="G3626" s="56"/>
      <c r="H3626" s="56"/>
      <c r="I3626" s="56"/>
      <c r="J3626" s="56"/>
      <c r="K3626" s="56"/>
      <c r="L3626" s="56"/>
      <c r="M3626" s="56"/>
      <c r="N3626" s="56"/>
      <c r="O3626" s="289"/>
      <c r="P3626" s="221"/>
      <c r="Q3626" s="221"/>
      <c r="R3626" s="221"/>
      <c r="S3626" s="221"/>
      <c r="T3626" s="221"/>
      <c r="U3626" s="221"/>
      <c r="V3626" s="221"/>
      <c r="W3626" s="221"/>
    </row>
    <row r="3627" spans="1:23" ht="15" customHeight="1">
      <c r="C3627" s="3">
        <v>94</v>
      </c>
      <c r="D3627" s="54" t="s">
        <v>2875</v>
      </c>
      <c r="E3627" s="54"/>
      <c r="F3627" s="192"/>
      <c r="G3627" s="55"/>
      <c r="H3627" s="55"/>
      <c r="I3627" s="55"/>
      <c r="J3627" s="55"/>
      <c r="K3627" s="55">
        <f>+K3596</f>
        <v>276359.76</v>
      </c>
      <c r="L3627" s="55"/>
      <c r="M3627" s="55">
        <f>+M3596</f>
        <v>-0.23999999999068677</v>
      </c>
      <c r="N3627" s="55">
        <f>+N3596</f>
        <v>-0.23999999999068677</v>
      </c>
      <c r="O3627" s="253"/>
      <c r="P3627" s="203"/>
      <c r="Q3627" s="204"/>
      <c r="R3627" s="205"/>
      <c r="S3627" s="206"/>
      <c r="T3627" s="207"/>
      <c r="U3627" s="207"/>
      <c r="V3627" s="208"/>
      <c r="W3627" s="212"/>
    </row>
    <row r="3628" spans="1:23" s="46" customFormat="1" ht="15" customHeight="1">
      <c r="A3628" s="195"/>
      <c r="B3628" s="195"/>
      <c r="C3628" s="3">
        <v>94</v>
      </c>
      <c r="D3628" s="47"/>
      <c r="E3628" s="47"/>
      <c r="F3628" s="191"/>
      <c r="G3628" s="56"/>
      <c r="H3628" s="56"/>
      <c r="I3628" s="56"/>
      <c r="J3628" s="56"/>
      <c r="K3628" s="56"/>
      <c r="L3628" s="56"/>
      <c r="M3628" s="56"/>
      <c r="N3628" s="56"/>
      <c r="O3628" s="289"/>
      <c r="P3628" s="221"/>
      <c r="Q3628" s="221"/>
      <c r="R3628" s="221"/>
      <c r="S3628" s="221"/>
      <c r="T3628" s="221"/>
      <c r="U3628" s="221"/>
      <c r="V3628" s="221"/>
      <c r="W3628" s="221"/>
    </row>
    <row r="3629" spans="1:23" s="35" customFormat="1" ht="15" customHeight="1">
      <c r="A3629" s="2"/>
      <c r="B3629" s="2"/>
      <c r="C3629" s="3">
        <v>94</v>
      </c>
      <c r="D3629" s="47" t="s">
        <v>1976</v>
      </c>
      <c r="E3629" s="47"/>
      <c r="F3629" s="191"/>
      <c r="G3629" s="48"/>
      <c r="H3629" s="48"/>
      <c r="I3629" s="48"/>
      <c r="J3629" s="48"/>
      <c r="K3629" s="48"/>
      <c r="L3629" s="48"/>
      <c r="M3629" s="48"/>
      <c r="N3629" s="48"/>
      <c r="O3629" s="276"/>
      <c r="P3629" s="214">
        <v>2865</v>
      </c>
      <c r="Q3629" s="215">
        <v>94</v>
      </c>
      <c r="R3629" s="216" t="s">
        <v>2630</v>
      </c>
      <c r="S3629" s="217"/>
      <c r="T3629" s="218"/>
      <c r="U3629" s="218"/>
      <c r="V3629" s="219"/>
      <c r="W3629" s="219"/>
    </row>
    <row r="3630" spans="1:23" s="35" customFormat="1" ht="15" customHeight="1">
      <c r="A3630" s="2"/>
      <c r="B3630" s="2"/>
      <c r="C3630" s="3"/>
      <c r="D3630" s="47"/>
      <c r="E3630" s="47"/>
      <c r="F3630" s="191"/>
      <c r="G3630" s="48"/>
      <c r="H3630" s="48"/>
      <c r="I3630" s="48"/>
      <c r="J3630" s="48"/>
      <c r="K3630" s="48"/>
      <c r="L3630" s="48"/>
      <c r="M3630" s="48"/>
      <c r="N3630" s="48"/>
      <c r="O3630" s="276"/>
    </row>
    <row r="3631" spans="1:23" s="35" customFormat="1" ht="15" customHeight="1">
      <c r="A3631" s="2"/>
      <c r="B3631" s="2"/>
      <c r="C3631" s="3">
        <v>96</v>
      </c>
      <c r="D3631" s="47" t="s">
        <v>2404</v>
      </c>
      <c r="E3631" s="47"/>
      <c r="F3631" s="191"/>
      <c r="G3631" s="48"/>
      <c r="H3631" s="48"/>
      <c r="I3631" s="48"/>
      <c r="J3631" s="48"/>
      <c r="K3631" s="48"/>
      <c r="L3631" s="48"/>
      <c r="M3631" s="48"/>
      <c r="N3631" s="48"/>
      <c r="O3631" s="276"/>
    </row>
    <row r="3632" spans="1:23" s="35" customFormat="1" ht="15" customHeight="1">
      <c r="A3632" s="2"/>
      <c r="B3632" s="2"/>
      <c r="C3632" s="3">
        <v>96</v>
      </c>
      <c r="D3632" s="47"/>
      <c r="E3632" s="47"/>
      <c r="F3632" s="191"/>
      <c r="G3632" s="48"/>
      <c r="H3632" s="48"/>
      <c r="I3632" s="48"/>
      <c r="J3632" s="48"/>
      <c r="K3632" s="48"/>
      <c r="L3632" s="48"/>
      <c r="M3632" s="48"/>
      <c r="N3632" s="48"/>
      <c r="O3632" s="276"/>
    </row>
    <row r="3633" spans="1:23" ht="15" customHeight="1">
      <c r="C3633" s="3">
        <v>96</v>
      </c>
      <c r="D3633" s="54" t="s">
        <v>2874</v>
      </c>
      <c r="E3633" s="54"/>
      <c r="F3633" s="192"/>
      <c r="G3633" s="55"/>
      <c r="H3633" s="55"/>
      <c r="I3633" s="55"/>
      <c r="J3633" s="55"/>
      <c r="K3633" s="55">
        <f>M3633</f>
        <v>760128.23</v>
      </c>
      <c r="L3633" s="55"/>
      <c r="M3633" s="55">
        <v>760128.23</v>
      </c>
      <c r="N3633" s="55">
        <f>+M3649</f>
        <v>260128.22999999998</v>
      </c>
      <c r="O3633" s="278"/>
      <c r="P3633" s="203"/>
      <c r="Q3633" s="204"/>
      <c r="R3633" s="205"/>
      <c r="S3633" s="206"/>
      <c r="T3633" s="207"/>
      <c r="U3633" s="207"/>
      <c r="V3633" s="208"/>
      <c r="W3633" s="212"/>
    </row>
    <row r="3634" spans="1:23" s="35" customFormat="1" ht="15" customHeight="1">
      <c r="A3634" s="2"/>
      <c r="B3634" s="2"/>
      <c r="C3634" s="3">
        <v>96</v>
      </c>
      <c r="D3634" s="47"/>
      <c r="E3634" s="47"/>
      <c r="F3634" s="191"/>
      <c r="G3634" s="48"/>
      <c r="H3634" s="48"/>
      <c r="I3634" s="48"/>
      <c r="J3634" s="48"/>
      <c r="K3634" s="48"/>
      <c r="L3634" s="48"/>
      <c r="M3634" s="48"/>
      <c r="N3634" s="48"/>
      <c r="O3634" s="276"/>
    </row>
    <row r="3635" spans="1:23" ht="15" customHeight="1">
      <c r="C3635" s="3">
        <v>96</v>
      </c>
      <c r="D3635" s="47" t="s">
        <v>2241</v>
      </c>
      <c r="G3635" s="26"/>
      <c r="H3635" s="26"/>
      <c r="I3635" s="26"/>
      <c r="J3635" s="26"/>
      <c r="K3635" s="26"/>
      <c r="L3635" s="26"/>
      <c r="M3635" s="26"/>
      <c r="N3635" s="26"/>
      <c r="P3635" s="214">
        <v>2867</v>
      </c>
      <c r="Q3635" s="215">
        <v>96</v>
      </c>
      <c r="R3635" s="216" t="s">
        <v>2610</v>
      </c>
      <c r="S3635" s="217"/>
      <c r="T3635" s="218"/>
      <c r="U3635" s="218"/>
      <c r="V3635" s="219"/>
      <c r="W3635" s="219"/>
    </row>
    <row r="3636" spans="1:23" ht="15" customHeight="1">
      <c r="C3636" s="3">
        <v>96</v>
      </c>
      <c r="G3636" s="26"/>
      <c r="H3636" s="26"/>
      <c r="I3636" s="26"/>
      <c r="J3636" s="26"/>
      <c r="K3636" s="26"/>
      <c r="L3636" s="26"/>
      <c r="M3636" s="26"/>
      <c r="N3636" s="26"/>
      <c r="P3636" s="214">
        <v>2868</v>
      </c>
      <c r="Q3636" s="215">
        <v>96</v>
      </c>
      <c r="R3636" s="216" t="s">
        <v>2611</v>
      </c>
      <c r="S3636" s="217"/>
      <c r="T3636" s="218"/>
      <c r="U3636" s="218"/>
      <c r="V3636" s="219"/>
      <c r="W3636" s="219"/>
    </row>
    <row r="3637" spans="1:23" s="21" customFormat="1" ht="15" customHeight="1">
      <c r="A3637" s="2"/>
      <c r="B3637" s="2" t="s">
        <v>2318</v>
      </c>
      <c r="C3637" s="3">
        <v>96</v>
      </c>
      <c r="D3637" s="54" t="s">
        <v>2217</v>
      </c>
      <c r="E3637" s="54"/>
      <c r="F3637" s="192"/>
      <c r="G3637" s="55">
        <f>+G3639</f>
        <v>0</v>
      </c>
      <c r="H3637" s="55">
        <f t="shared" ref="H3637:N3637" si="448">+H3639</f>
        <v>0</v>
      </c>
      <c r="I3637" s="55">
        <f t="shared" si="448"/>
        <v>3161815</v>
      </c>
      <c r="J3637" s="55">
        <f t="shared" si="448"/>
        <v>10748</v>
      </c>
      <c r="K3637" s="55">
        <f t="shared" si="448"/>
        <v>0</v>
      </c>
      <c r="L3637" s="55">
        <f t="shared" si="448"/>
        <v>3677</v>
      </c>
      <c r="M3637" s="55">
        <f t="shared" si="448"/>
        <v>5000</v>
      </c>
      <c r="N3637" s="55">
        <f t="shared" si="448"/>
        <v>2500</v>
      </c>
      <c r="O3637" s="279"/>
      <c r="P3637" s="214">
        <v>2869</v>
      </c>
      <c r="Q3637" s="215">
        <v>96</v>
      </c>
      <c r="R3637" s="216" t="s">
        <v>2612</v>
      </c>
      <c r="S3637" s="217"/>
      <c r="T3637" s="218">
        <v>0</v>
      </c>
      <c r="U3637" s="218">
        <v>309.02999999999997</v>
      </c>
      <c r="V3637" s="219">
        <v>3985.75</v>
      </c>
      <c r="W3637" s="219">
        <v>0</v>
      </c>
    </row>
    <row r="3638" spans="1:23" s="57" customFormat="1" ht="15" customHeight="1">
      <c r="A3638" s="5"/>
      <c r="B3638" s="5"/>
      <c r="C3638" s="3">
        <v>96</v>
      </c>
      <c r="D3638" s="54"/>
      <c r="E3638" s="54"/>
      <c r="F3638" s="192"/>
      <c r="G3638" s="55"/>
      <c r="H3638" s="55"/>
      <c r="I3638" s="55"/>
      <c r="J3638" s="55"/>
      <c r="K3638" s="55"/>
      <c r="L3638" s="55"/>
      <c r="M3638" s="55"/>
      <c r="N3638" s="55"/>
      <c r="O3638" s="302"/>
      <c r="P3638" s="220"/>
      <c r="Q3638" s="220"/>
      <c r="R3638" s="220"/>
      <c r="S3638" s="220"/>
      <c r="T3638" s="220"/>
      <c r="U3638" s="220"/>
      <c r="V3638" s="220"/>
      <c r="W3638" s="220"/>
    </row>
    <row r="3639" spans="1:23" s="27" customFormat="1" ht="15" customHeight="1" thickBot="1">
      <c r="A3639" s="2"/>
      <c r="B3639" s="2" t="s">
        <v>2318</v>
      </c>
      <c r="C3639" s="3">
        <v>96</v>
      </c>
      <c r="D3639" s="68" t="str">
        <f>+D3654</f>
        <v>*** TOTAL FUND 96 REVENUES ***</v>
      </c>
      <c r="E3639" s="68"/>
      <c r="F3639" s="68">
        <f>+F3654</f>
        <v>0</v>
      </c>
      <c r="G3639" s="69">
        <f>+G3654</f>
        <v>0</v>
      </c>
      <c r="H3639" s="69">
        <f t="shared" ref="H3639:N3639" si="449">+H3654</f>
        <v>0</v>
      </c>
      <c r="I3639" s="69">
        <f t="shared" si="449"/>
        <v>3161815</v>
      </c>
      <c r="J3639" s="69">
        <f t="shared" si="449"/>
        <v>10748</v>
      </c>
      <c r="K3639" s="69">
        <f t="shared" si="449"/>
        <v>0</v>
      </c>
      <c r="L3639" s="69">
        <f t="shared" si="449"/>
        <v>3677</v>
      </c>
      <c r="M3639" s="69">
        <f t="shared" si="449"/>
        <v>5000</v>
      </c>
      <c r="N3639" s="69">
        <f t="shared" si="449"/>
        <v>2500</v>
      </c>
      <c r="O3639" s="281"/>
      <c r="P3639" s="214">
        <v>2870</v>
      </c>
      <c r="Q3639" s="215">
        <v>96</v>
      </c>
      <c r="R3639" s="216" t="s">
        <v>2613</v>
      </c>
      <c r="S3639" s="217"/>
      <c r="T3639" s="218">
        <v>0</v>
      </c>
      <c r="U3639" s="218">
        <v>309.02999999999997</v>
      </c>
      <c r="V3639" s="219">
        <v>3985.75</v>
      </c>
      <c r="W3639" s="219">
        <v>0</v>
      </c>
    </row>
    <row r="3640" spans="1:23" s="46" customFormat="1" ht="15" customHeight="1" thickTop="1">
      <c r="A3640" s="5"/>
      <c r="B3640" s="5"/>
      <c r="C3640" s="3">
        <v>96</v>
      </c>
      <c r="D3640" s="47"/>
      <c r="E3640" s="47"/>
      <c r="F3640" s="47"/>
      <c r="G3640" s="56"/>
      <c r="H3640" s="56"/>
      <c r="I3640" s="56"/>
      <c r="J3640" s="56"/>
      <c r="K3640" s="56"/>
      <c r="L3640" s="56"/>
      <c r="M3640" s="56"/>
      <c r="N3640" s="56"/>
      <c r="O3640" s="289"/>
      <c r="P3640" s="221"/>
      <c r="Q3640" s="221"/>
      <c r="R3640" s="221"/>
      <c r="S3640" s="221"/>
      <c r="T3640" s="221"/>
      <c r="U3640" s="221"/>
      <c r="V3640" s="221"/>
      <c r="W3640" s="221"/>
    </row>
    <row r="3641" spans="1:23" ht="15" customHeight="1">
      <c r="C3641" s="3">
        <v>96</v>
      </c>
      <c r="D3641" s="47" t="s">
        <v>1977</v>
      </c>
      <c r="G3641" s="26"/>
      <c r="H3641" s="26"/>
      <c r="I3641" s="26"/>
      <c r="J3641" s="26"/>
      <c r="K3641" s="26"/>
      <c r="L3641" s="26"/>
      <c r="M3641" s="26"/>
      <c r="N3641" s="26"/>
      <c r="P3641" s="214">
        <v>2871</v>
      </c>
      <c r="Q3641" s="215">
        <v>96</v>
      </c>
      <c r="R3641" s="216" t="s">
        <v>2614</v>
      </c>
      <c r="S3641" s="217"/>
      <c r="T3641" s="218"/>
      <c r="U3641" s="218"/>
      <c r="V3641" s="219"/>
      <c r="W3641" s="219"/>
    </row>
    <row r="3642" spans="1:23" ht="15" customHeight="1">
      <c r="C3642" s="3">
        <v>96</v>
      </c>
      <c r="G3642" s="26"/>
      <c r="H3642" s="26"/>
      <c r="I3642" s="26"/>
      <c r="J3642" s="26"/>
      <c r="K3642" s="26"/>
      <c r="L3642" s="26"/>
      <c r="M3642" s="26"/>
      <c r="N3642" s="26"/>
      <c r="P3642" s="214">
        <v>2872</v>
      </c>
      <c r="Q3642" s="215">
        <v>96</v>
      </c>
      <c r="R3642" s="216" t="s">
        <v>2615</v>
      </c>
      <c r="S3642" s="217"/>
      <c r="T3642" s="218"/>
      <c r="U3642" s="218"/>
      <c r="V3642" s="219"/>
      <c r="W3642" s="219"/>
    </row>
    <row r="3643" spans="1:23" ht="15" customHeight="1">
      <c r="B3643" s="2" t="s">
        <v>2318</v>
      </c>
      <c r="C3643" s="3">
        <v>96</v>
      </c>
      <c r="D3643" s="47" t="s">
        <v>1667</v>
      </c>
      <c r="G3643" s="26">
        <f>+G3666</f>
        <v>0</v>
      </c>
      <c r="H3643" s="26">
        <f t="shared" ref="H3643:N3643" si="450">+H3666</f>
        <v>0</v>
      </c>
      <c r="I3643" s="26">
        <f t="shared" si="450"/>
        <v>1468819</v>
      </c>
      <c r="J3643" s="26">
        <f t="shared" si="450"/>
        <v>946655</v>
      </c>
      <c r="K3643" s="26">
        <f t="shared" si="450"/>
        <v>97900</v>
      </c>
      <c r="L3643" s="26">
        <f t="shared" si="450"/>
        <v>400176</v>
      </c>
      <c r="M3643" s="26">
        <f t="shared" si="450"/>
        <v>505000</v>
      </c>
      <c r="N3643" s="26">
        <f t="shared" si="450"/>
        <v>193300</v>
      </c>
      <c r="P3643" s="214">
        <v>2873</v>
      </c>
      <c r="Q3643" s="215">
        <v>96</v>
      </c>
      <c r="R3643" s="216" t="s">
        <v>1667</v>
      </c>
      <c r="S3643" s="217"/>
      <c r="T3643" s="218">
        <v>97900</v>
      </c>
      <c r="U3643" s="218">
        <v>0</v>
      </c>
      <c r="V3643" s="219">
        <v>400176.14</v>
      </c>
      <c r="W3643" s="219">
        <v>408.76</v>
      </c>
    </row>
    <row r="3644" spans="1:23" ht="15" customHeight="1">
      <c r="C3644" s="3">
        <v>96</v>
      </c>
      <c r="D3644" s="47"/>
      <c r="G3644" s="26"/>
      <c r="H3644" s="26"/>
      <c r="I3644" s="26"/>
      <c r="J3644" s="26"/>
      <c r="K3644" s="26"/>
      <c r="L3644" s="26"/>
      <c r="M3644" s="26"/>
      <c r="N3644" s="26"/>
      <c r="P3644" s="222"/>
      <c r="Q3644" s="222"/>
      <c r="R3644" s="222"/>
      <c r="S3644" s="223"/>
      <c r="T3644" s="223"/>
      <c r="U3644" s="223"/>
      <c r="V3644" s="224"/>
      <c r="W3644" s="224"/>
    </row>
    <row r="3645" spans="1:23" s="37" customFormat="1" ht="15" customHeight="1">
      <c r="A3645" s="2"/>
      <c r="B3645" s="2" t="s">
        <v>2318</v>
      </c>
      <c r="C3645" s="3">
        <v>96</v>
      </c>
      <c r="D3645" s="54" t="str">
        <f>+D3668</f>
        <v>*** TOTAL FUND 96 EXPENSES ***</v>
      </c>
      <c r="E3645" s="54"/>
      <c r="F3645" s="54">
        <f t="shared" ref="F3645:N3645" si="451">+F3668</f>
        <v>0</v>
      </c>
      <c r="G3645" s="339">
        <f t="shared" si="451"/>
        <v>0</v>
      </c>
      <c r="H3645" s="339">
        <f t="shared" si="451"/>
        <v>0</v>
      </c>
      <c r="I3645" s="339">
        <f t="shared" si="451"/>
        <v>1468819</v>
      </c>
      <c r="J3645" s="339">
        <f t="shared" si="451"/>
        <v>946655</v>
      </c>
      <c r="K3645" s="339">
        <f t="shared" si="451"/>
        <v>97900</v>
      </c>
      <c r="L3645" s="339">
        <f t="shared" si="451"/>
        <v>400176</v>
      </c>
      <c r="M3645" s="339">
        <f t="shared" si="451"/>
        <v>505000</v>
      </c>
      <c r="N3645" s="339">
        <f t="shared" si="451"/>
        <v>193300</v>
      </c>
      <c r="O3645" s="303"/>
      <c r="P3645" s="214">
        <v>2874</v>
      </c>
      <c r="Q3645" s="215">
        <v>96</v>
      </c>
      <c r="R3645" s="216" t="s">
        <v>2618</v>
      </c>
      <c r="S3645" s="217"/>
      <c r="T3645" s="218">
        <v>97900</v>
      </c>
      <c r="U3645" s="218">
        <v>0</v>
      </c>
      <c r="V3645" s="219">
        <v>400176.14</v>
      </c>
      <c r="W3645" s="219">
        <v>408.76</v>
      </c>
    </row>
    <row r="3646" spans="1:23" s="46" customFormat="1" ht="15" customHeight="1">
      <c r="A3646" s="5"/>
      <c r="B3646" s="5"/>
      <c r="C3646" s="3">
        <v>96</v>
      </c>
      <c r="D3646" s="47"/>
      <c r="E3646" s="47"/>
      <c r="F3646" s="47"/>
      <c r="G3646" s="56"/>
      <c r="H3646" s="56"/>
      <c r="I3646" s="56"/>
      <c r="J3646" s="56"/>
      <c r="K3646" s="56"/>
      <c r="L3646" s="56"/>
      <c r="M3646" s="56"/>
      <c r="N3646" s="56"/>
      <c r="O3646" s="289"/>
      <c r="P3646" s="221"/>
      <c r="Q3646" s="221"/>
      <c r="R3646" s="221"/>
      <c r="S3646" s="221"/>
      <c r="T3646" s="221"/>
      <c r="U3646" s="221"/>
      <c r="V3646" s="221"/>
      <c r="W3646" s="221"/>
    </row>
    <row r="3647" spans="1:23" s="33" customFormat="1" ht="15" customHeight="1" thickBot="1">
      <c r="A3647" s="2"/>
      <c r="B3647" s="2" t="s">
        <v>2318</v>
      </c>
      <c r="C3647" s="3">
        <v>96</v>
      </c>
      <c r="D3647" s="335" t="str">
        <f>+D3670</f>
        <v>*** FUND 96 REVENUES OVER(UNDER) EXPENSES ***</v>
      </c>
      <c r="E3647" s="336"/>
      <c r="F3647" s="336">
        <f>+F3670</f>
        <v>0</v>
      </c>
      <c r="G3647" s="336">
        <f>+G3670</f>
        <v>0</v>
      </c>
      <c r="H3647" s="336">
        <f t="shared" ref="H3647:N3647" si="452">+H3670</f>
        <v>0</v>
      </c>
      <c r="I3647" s="336">
        <f t="shared" si="452"/>
        <v>1692996</v>
      </c>
      <c r="J3647" s="336">
        <f t="shared" si="452"/>
        <v>-935907</v>
      </c>
      <c r="K3647" s="336">
        <f t="shared" si="452"/>
        <v>-97900</v>
      </c>
      <c r="L3647" s="336">
        <f t="shared" si="452"/>
        <v>-396499</v>
      </c>
      <c r="M3647" s="336">
        <f t="shared" si="452"/>
        <v>-500000</v>
      </c>
      <c r="N3647" s="336">
        <f t="shared" si="452"/>
        <v>-190800</v>
      </c>
      <c r="O3647" s="301"/>
      <c r="P3647" s="214">
        <v>2875</v>
      </c>
      <c r="Q3647" s="215">
        <v>96</v>
      </c>
      <c r="R3647" s="216" t="s">
        <v>2619</v>
      </c>
      <c r="S3647" s="217"/>
      <c r="T3647" s="218">
        <v>-97900</v>
      </c>
      <c r="U3647" s="218">
        <v>309.02999999999997</v>
      </c>
      <c r="V3647" s="219">
        <v>-396190.39</v>
      </c>
      <c r="W3647" s="219">
        <v>404.69</v>
      </c>
    </row>
    <row r="3648" spans="1:23" s="46" customFormat="1" ht="15" customHeight="1" thickTop="1">
      <c r="A3648" s="5"/>
      <c r="B3648" s="5"/>
      <c r="C3648" s="3">
        <v>96</v>
      </c>
      <c r="D3648" s="58"/>
      <c r="E3648" s="56"/>
      <c r="F3648" s="56"/>
      <c r="G3648" s="56"/>
      <c r="H3648" s="56"/>
      <c r="I3648" s="56"/>
      <c r="J3648" s="56"/>
      <c r="K3648" s="56"/>
      <c r="L3648" s="56"/>
      <c r="M3648" s="56"/>
      <c r="N3648" s="56"/>
      <c r="O3648" s="289"/>
      <c r="P3648" s="221"/>
      <c r="Q3648" s="221"/>
      <c r="R3648" s="221"/>
      <c r="S3648" s="221"/>
      <c r="T3648" s="221"/>
      <c r="U3648" s="221"/>
      <c r="V3648" s="221"/>
      <c r="W3648" s="221"/>
    </row>
    <row r="3649" spans="1:23" ht="15" customHeight="1">
      <c r="C3649" s="3">
        <v>96</v>
      </c>
      <c r="D3649" s="54" t="s">
        <v>2875</v>
      </c>
      <c r="E3649" s="54"/>
      <c r="F3649" s="192"/>
      <c r="G3649" s="55"/>
      <c r="H3649" s="55"/>
      <c r="I3649" s="55"/>
      <c r="J3649" s="55"/>
      <c r="K3649" s="55">
        <f>+K3633+K3639-K3645</f>
        <v>662228.23</v>
      </c>
      <c r="L3649" s="55"/>
      <c r="M3649" s="55">
        <f>+M3633+M3639-M3645</f>
        <v>260128.22999999998</v>
      </c>
      <c r="N3649" s="55">
        <f>+N3633+N3639-N3645</f>
        <v>69328.229999999981</v>
      </c>
      <c r="O3649" s="253"/>
      <c r="P3649" s="203"/>
      <c r="Q3649" s="204"/>
      <c r="R3649" s="205"/>
      <c r="S3649" s="206"/>
      <c r="T3649" s="207"/>
      <c r="U3649" s="207"/>
      <c r="V3649" s="208"/>
      <c r="W3649" s="212"/>
    </row>
    <row r="3650" spans="1:23" s="46" customFormat="1" ht="15" customHeight="1">
      <c r="A3650" s="195"/>
      <c r="B3650" s="195"/>
      <c r="C3650" s="3">
        <v>96</v>
      </c>
      <c r="D3650" s="58"/>
      <c r="E3650" s="56"/>
      <c r="F3650" s="56"/>
      <c r="G3650" s="56"/>
      <c r="H3650" s="56"/>
      <c r="I3650" s="56"/>
      <c r="J3650" s="56"/>
      <c r="K3650" s="56"/>
      <c r="L3650" s="56"/>
      <c r="M3650" s="26"/>
      <c r="N3650" s="26"/>
      <c r="O3650" s="289"/>
      <c r="P3650" s="221"/>
      <c r="Q3650" s="221"/>
      <c r="R3650" s="221"/>
      <c r="S3650" s="221"/>
      <c r="T3650" s="221"/>
      <c r="U3650" s="221"/>
      <c r="V3650" s="221"/>
      <c r="W3650" s="221"/>
    </row>
    <row r="3651" spans="1:23" ht="15" customHeight="1">
      <c r="C3651" s="3">
        <v>96</v>
      </c>
      <c r="D3651" s="15">
        <v>4130</v>
      </c>
      <c r="E3651" s="312" t="s">
        <v>1953</v>
      </c>
      <c r="G3651" s="26">
        <v>0</v>
      </c>
      <c r="H3651" s="26">
        <v>0</v>
      </c>
      <c r="I3651" s="26">
        <v>3112500</v>
      </c>
      <c r="J3651" s="26">
        <v>0</v>
      </c>
      <c r="K3651" s="26">
        <v>0</v>
      </c>
      <c r="L3651" s="26">
        <v>0</v>
      </c>
      <c r="M3651" s="26">
        <v>0</v>
      </c>
      <c r="N3651" s="26">
        <v>0</v>
      </c>
      <c r="O3651" s="285"/>
      <c r="P3651" s="214">
        <v>2876</v>
      </c>
      <c r="Q3651" s="215">
        <v>96</v>
      </c>
      <c r="R3651" s="216">
        <v>4130</v>
      </c>
      <c r="S3651" s="217" t="s">
        <v>1953</v>
      </c>
      <c r="T3651" s="218">
        <v>0</v>
      </c>
      <c r="U3651" s="218">
        <v>0</v>
      </c>
      <c r="V3651" s="219">
        <v>0</v>
      </c>
      <c r="W3651" s="219">
        <v>0</v>
      </c>
    </row>
    <row r="3652" spans="1:23" ht="15" customHeight="1">
      <c r="C3652" s="3">
        <v>96</v>
      </c>
      <c r="D3652" s="15">
        <v>4330</v>
      </c>
      <c r="E3652" s="312" t="s">
        <v>1669</v>
      </c>
      <c r="G3652" s="26">
        <v>0</v>
      </c>
      <c r="H3652" s="26">
        <v>0</v>
      </c>
      <c r="I3652" s="26">
        <v>49315</v>
      </c>
      <c r="J3652" s="26">
        <v>10748</v>
      </c>
      <c r="K3652" s="26">
        <v>0</v>
      </c>
      <c r="L3652" s="26">
        <v>3677</v>
      </c>
      <c r="M3652" s="26">
        <v>5000</v>
      </c>
      <c r="N3652" s="26">
        <v>2500</v>
      </c>
      <c r="O3652" s="285"/>
      <c r="P3652" s="214">
        <v>2877</v>
      </c>
      <c r="Q3652" s="215">
        <v>96</v>
      </c>
      <c r="R3652" s="216">
        <v>4330</v>
      </c>
      <c r="S3652" s="217" t="s">
        <v>1669</v>
      </c>
      <c r="T3652" s="218">
        <v>0</v>
      </c>
      <c r="U3652" s="218">
        <v>309.02999999999997</v>
      </c>
      <c r="V3652" s="219">
        <v>3985.75</v>
      </c>
      <c r="W3652" s="219">
        <v>0</v>
      </c>
    </row>
    <row r="3653" spans="1:23" ht="15" customHeight="1">
      <c r="C3653" s="3">
        <v>96</v>
      </c>
      <c r="E3653" s="14"/>
      <c r="G3653" s="26"/>
      <c r="H3653" s="26"/>
      <c r="I3653" s="26"/>
      <c r="J3653" s="26"/>
      <c r="K3653" s="26"/>
      <c r="L3653" s="26"/>
      <c r="M3653" s="26"/>
      <c r="N3653" s="26"/>
      <c r="P3653" s="222"/>
      <c r="Q3653" s="222"/>
      <c r="R3653" s="222"/>
      <c r="S3653" s="223"/>
      <c r="T3653" s="223"/>
      <c r="U3653" s="223"/>
      <c r="V3653" s="224"/>
      <c r="W3653" s="224"/>
    </row>
    <row r="3654" spans="1:23" s="27" customFormat="1" ht="15" customHeight="1" thickBot="1">
      <c r="A3654" s="2"/>
      <c r="B3654" s="2" t="s">
        <v>2317</v>
      </c>
      <c r="C3654" s="3">
        <v>96</v>
      </c>
      <c r="D3654" s="68" t="s">
        <v>2315</v>
      </c>
      <c r="E3654" s="68"/>
      <c r="F3654" s="320"/>
      <c r="G3654" s="69">
        <f>SUM(G3650:G3653)</f>
        <v>0</v>
      </c>
      <c r="H3654" s="69">
        <f t="shared" ref="H3654:O3654" si="453">SUM(H3650:H3653)</f>
        <v>0</v>
      </c>
      <c r="I3654" s="69">
        <f t="shared" si="453"/>
        <v>3161815</v>
      </c>
      <c r="J3654" s="69">
        <f t="shared" si="453"/>
        <v>10748</v>
      </c>
      <c r="K3654" s="69">
        <f t="shared" si="453"/>
        <v>0</v>
      </c>
      <c r="L3654" s="69">
        <f t="shared" si="453"/>
        <v>3677</v>
      </c>
      <c r="M3654" s="69">
        <f t="shared" si="453"/>
        <v>5000</v>
      </c>
      <c r="N3654" s="69">
        <f t="shared" si="453"/>
        <v>2500</v>
      </c>
      <c r="O3654" s="254">
        <f t="shared" si="453"/>
        <v>0</v>
      </c>
      <c r="P3654" s="214">
        <v>2878</v>
      </c>
      <c r="Q3654" s="215">
        <v>96</v>
      </c>
      <c r="R3654" s="216" t="s">
        <v>2620</v>
      </c>
      <c r="S3654" s="217"/>
      <c r="T3654" s="218">
        <v>0</v>
      </c>
      <c r="U3654" s="218">
        <v>309.02999999999997</v>
      </c>
      <c r="V3654" s="219">
        <v>3985.75</v>
      </c>
      <c r="W3654" s="219">
        <v>0</v>
      </c>
    </row>
    <row r="3655" spans="1:23" s="46" customFormat="1" ht="15" customHeight="1" thickTop="1">
      <c r="A3655" s="5"/>
      <c r="B3655" s="5"/>
      <c r="C3655" s="3">
        <v>96</v>
      </c>
      <c r="D3655" s="47"/>
      <c r="E3655" s="47"/>
      <c r="F3655" s="191"/>
      <c r="G3655" s="56"/>
      <c r="H3655" s="56"/>
      <c r="I3655" s="56"/>
      <c r="J3655" s="56"/>
      <c r="K3655" s="56"/>
      <c r="L3655" s="56"/>
      <c r="M3655" s="56"/>
      <c r="N3655" s="56"/>
      <c r="O3655" s="289"/>
      <c r="P3655" s="221"/>
      <c r="Q3655" s="221"/>
      <c r="R3655" s="221"/>
      <c r="S3655" s="221"/>
      <c r="T3655" s="221"/>
      <c r="U3655" s="221"/>
      <c r="V3655" s="221"/>
      <c r="W3655" s="221"/>
    </row>
    <row r="3656" spans="1:23" ht="15" customHeight="1">
      <c r="C3656" s="3">
        <v>96</v>
      </c>
      <c r="D3656" s="47" t="s">
        <v>1975</v>
      </c>
      <c r="G3656" s="26"/>
      <c r="H3656" s="26"/>
      <c r="I3656" s="26"/>
      <c r="J3656" s="26"/>
      <c r="K3656" s="26"/>
      <c r="L3656" s="26"/>
      <c r="M3656" s="26"/>
      <c r="N3656" s="26"/>
      <c r="P3656" s="214">
        <v>2879</v>
      </c>
      <c r="Q3656" s="215">
        <v>96</v>
      </c>
      <c r="R3656" s="216" t="s">
        <v>245</v>
      </c>
      <c r="S3656" s="217"/>
      <c r="T3656" s="218"/>
      <c r="U3656" s="218"/>
      <c r="V3656" s="219"/>
      <c r="W3656" s="219"/>
    </row>
    <row r="3657" spans="1:23" ht="15" customHeight="1">
      <c r="C3657" s="3">
        <v>96</v>
      </c>
      <c r="G3657" s="26"/>
      <c r="H3657" s="26"/>
      <c r="I3657" s="26"/>
      <c r="J3657" s="26"/>
      <c r="K3657" s="26"/>
      <c r="L3657" s="26"/>
      <c r="M3657" s="26"/>
      <c r="N3657" s="26"/>
      <c r="P3657" s="214">
        <v>2880</v>
      </c>
      <c r="Q3657" s="215">
        <v>96</v>
      </c>
      <c r="R3657" s="216" t="s">
        <v>2628</v>
      </c>
      <c r="S3657" s="217"/>
      <c r="T3657" s="218"/>
      <c r="U3657" s="218"/>
      <c r="V3657" s="219"/>
      <c r="W3657" s="219"/>
    </row>
    <row r="3658" spans="1:23" ht="15" customHeight="1">
      <c r="C3658" s="3">
        <v>96</v>
      </c>
      <c r="D3658" s="15" t="s">
        <v>1670</v>
      </c>
      <c r="E3658" s="312" t="s">
        <v>1671</v>
      </c>
      <c r="G3658" s="26">
        <v>0</v>
      </c>
      <c r="H3658" s="26">
        <v>0</v>
      </c>
      <c r="I3658" s="26">
        <v>18162</v>
      </c>
      <c r="J3658" s="26">
        <v>126852</v>
      </c>
      <c r="K3658" s="26">
        <v>97900</v>
      </c>
      <c r="L3658" s="26">
        <v>150367</v>
      </c>
      <c r="M3658" s="26">
        <v>165000</v>
      </c>
      <c r="N3658" s="26">
        <f>7300+5000+21000+20000</f>
        <v>53300</v>
      </c>
      <c r="O3658" s="347" t="s">
        <v>3073</v>
      </c>
      <c r="P3658" s="214">
        <v>2881</v>
      </c>
      <c r="Q3658" s="215">
        <v>96</v>
      </c>
      <c r="R3658" s="216" t="s">
        <v>1670</v>
      </c>
      <c r="S3658" s="217" t="s">
        <v>1671</v>
      </c>
      <c r="T3658" s="218">
        <v>97900</v>
      </c>
      <c r="U3658" s="218">
        <v>0</v>
      </c>
      <c r="V3658" s="219">
        <v>150367.07</v>
      </c>
      <c r="W3658" s="219">
        <v>153.59</v>
      </c>
    </row>
    <row r="3659" spans="1:23" ht="15" customHeight="1">
      <c r="C3659" s="3">
        <v>96</v>
      </c>
      <c r="D3659" s="15" t="s">
        <v>1672</v>
      </c>
      <c r="E3659" s="312" t="s">
        <v>1673</v>
      </c>
      <c r="G3659" s="26">
        <v>0</v>
      </c>
      <c r="H3659" s="26">
        <v>0</v>
      </c>
      <c r="I3659" s="26">
        <v>308771</v>
      </c>
      <c r="J3659" s="26">
        <v>109954</v>
      </c>
      <c r="K3659" s="26">
        <v>0</v>
      </c>
      <c r="L3659" s="26">
        <v>54357</v>
      </c>
      <c r="M3659" s="26">
        <v>65000</v>
      </c>
      <c r="N3659" s="26">
        <v>0</v>
      </c>
      <c r="O3659" s="285"/>
      <c r="P3659" s="214">
        <v>2882</v>
      </c>
      <c r="Q3659" s="215">
        <v>96</v>
      </c>
      <c r="R3659" s="216" t="s">
        <v>1672</v>
      </c>
      <c r="S3659" s="217" t="s">
        <v>1673</v>
      </c>
      <c r="T3659" s="218">
        <v>0</v>
      </c>
      <c r="U3659" s="218">
        <v>0</v>
      </c>
      <c r="V3659" s="219">
        <v>54357.07</v>
      </c>
      <c r="W3659" s="219">
        <v>0</v>
      </c>
    </row>
    <row r="3660" spans="1:23" ht="15" customHeight="1">
      <c r="C3660" s="3">
        <v>96</v>
      </c>
      <c r="D3660" s="15" t="s">
        <v>1674</v>
      </c>
      <c r="E3660" s="312" t="s">
        <v>1675</v>
      </c>
      <c r="G3660" s="26">
        <v>0</v>
      </c>
      <c r="H3660" s="26">
        <v>0</v>
      </c>
      <c r="I3660" s="26">
        <v>0</v>
      </c>
      <c r="J3660" s="26">
        <v>2400</v>
      </c>
      <c r="K3660" s="26">
        <v>0</v>
      </c>
      <c r="L3660" s="26">
        <v>0</v>
      </c>
      <c r="M3660" s="26">
        <v>0</v>
      </c>
      <c r="N3660" s="26">
        <v>0</v>
      </c>
      <c r="O3660" s="285"/>
      <c r="P3660" s="214">
        <v>2883</v>
      </c>
      <c r="Q3660" s="215">
        <v>96</v>
      </c>
      <c r="R3660" s="216" t="s">
        <v>1674</v>
      </c>
      <c r="S3660" s="217" t="s">
        <v>1675</v>
      </c>
      <c r="T3660" s="218">
        <v>0</v>
      </c>
      <c r="U3660" s="218">
        <v>0</v>
      </c>
      <c r="V3660" s="219">
        <v>0</v>
      </c>
      <c r="W3660" s="219">
        <v>0</v>
      </c>
    </row>
    <row r="3661" spans="1:23" ht="15" customHeight="1">
      <c r="C3661" s="3">
        <v>96</v>
      </c>
      <c r="D3661" s="15" t="s">
        <v>1676</v>
      </c>
      <c r="E3661" s="312" t="s">
        <v>1677</v>
      </c>
      <c r="G3661" s="26">
        <v>0</v>
      </c>
      <c r="H3661" s="26">
        <v>0</v>
      </c>
      <c r="I3661" s="26">
        <v>1141886</v>
      </c>
      <c r="J3661" s="26">
        <v>707449</v>
      </c>
      <c r="K3661" s="26">
        <v>0</v>
      </c>
      <c r="L3661" s="26">
        <v>195452</v>
      </c>
      <c r="M3661" s="26">
        <v>275000</v>
      </c>
      <c r="N3661" s="26">
        <v>140000</v>
      </c>
      <c r="O3661" s="285"/>
      <c r="P3661" s="214">
        <v>2884</v>
      </c>
      <c r="Q3661" s="215">
        <v>96</v>
      </c>
      <c r="R3661" s="216" t="s">
        <v>1676</v>
      </c>
      <c r="S3661" s="217" t="s">
        <v>1677</v>
      </c>
      <c r="T3661" s="218">
        <v>0</v>
      </c>
      <c r="U3661" s="218">
        <v>0</v>
      </c>
      <c r="V3661" s="219">
        <v>195452</v>
      </c>
      <c r="W3661" s="219">
        <v>0</v>
      </c>
    </row>
    <row r="3662" spans="1:23" ht="15" customHeight="1">
      <c r="C3662" s="3">
        <v>96</v>
      </c>
      <c r="D3662" s="15" t="s">
        <v>1678</v>
      </c>
      <c r="E3662" s="312" t="s">
        <v>1679</v>
      </c>
      <c r="G3662" s="26">
        <v>0</v>
      </c>
      <c r="H3662" s="26">
        <v>0</v>
      </c>
      <c r="I3662" s="26">
        <v>0</v>
      </c>
      <c r="J3662" s="26">
        <v>0</v>
      </c>
      <c r="K3662" s="26">
        <v>0</v>
      </c>
      <c r="L3662" s="26">
        <v>0</v>
      </c>
      <c r="M3662" s="26">
        <v>0</v>
      </c>
      <c r="N3662" s="26"/>
      <c r="O3662" s="285"/>
      <c r="P3662" s="214">
        <v>2885</v>
      </c>
      <c r="Q3662" s="215">
        <v>96</v>
      </c>
      <c r="R3662" s="216" t="s">
        <v>1678</v>
      </c>
      <c r="S3662" s="217" t="s">
        <v>1679</v>
      </c>
      <c r="T3662" s="218">
        <v>0</v>
      </c>
      <c r="U3662" s="218">
        <v>0</v>
      </c>
      <c r="V3662" s="219">
        <v>0</v>
      </c>
      <c r="W3662" s="219">
        <v>0</v>
      </c>
    </row>
    <row r="3663" spans="1:23" ht="15" customHeight="1">
      <c r="C3663" s="3">
        <v>96</v>
      </c>
      <c r="G3663" s="26"/>
      <c r="H3663" s="26"/>
      <c r="I3663" s="26"/>
      <c r="J3663" s="26"/>
      <c r="K3663" s="26"/>
      <c r="L3663" s="26"/>
      <c r="M3663" s="26"/>
      <c r="N3663" s="26"/>
      <c r="P3663" s="214">
        <v>2886</v>
      </c>
      <c r="Q3663" s="215">
        <v>96</v>
      </c>
      <c r="R3663" s="216" t="s">
        <v>2623</v>
      </c>
      <c r="S3663" s="217"/>
      <c r="T3663" s="218"/>
      <c r="U3663" s="218"/>
      <c r="V3663" s="219"/>
      <c r="W3663" s="219"/>
    </row>
    <row r="3664" spans="1:23" s="24" customFormat="1" ht="15" customHeight="1">
      <c r="A3664" s="2" t="s">
        <v>245</v>
      </c>
      <c r="B3664" s="2" t="s">
        <v>2317</v>
      </c>
      <c r="C3664" s="3">
        <v>96</v>
      </c>
      <c r="D3664" s="323" t="s">
        <v>1971</v>
      </c>
      <c r="E3664" s="323"/>
      <c r="F3664" s="324"/>
      <c r="G3664" s="325">
        <f>SUM(G3656:G3663)</f>
        <v>0</v>
      </c>
      <c r="H3664" s="325">
        <f t="shared" ref="H3664:N3664" si="454">SUM(H3656:H3663)</f>
        <v>0</v>
      </c>
      <c r="I3664" s="325">
        <f t="shared" si="454"/>
        <v>1468819</v>
      </c>
      <c r="J3664" s="325">
        <f t="shared" si="454"/>
        <v>946655</v>
      </c>
      <c r="K3664" s="325">
        <f t="shared" si="454"/>
        <v>97900</v>
      </c>
      <c r="L3664" s="325">
        <f t="shared" si="454"/>
        <v>400176</v>
      </c>
      <c r="M3664" s="325">
        <f t="shared" si="454"/>
        <v>505000</v>
      </c>
      <c r="N3664" s="325">
        <f t="shared" si="454"/>
        <v>193300</v>
      </c>
      <c r="O3664" s="292"/>
      <c r="P3664" s="214">
        <v>2887</v>
      </c>
      <c r="Q3664" s="215">
        <v>96</v>
      </c>
      <c r="R3664" s="216" t="s">
        <v>245</v>
      </c>
      <c r="S3664" s="217"/>
      <c r="T3664" s="218">
        <v>97900</v>
      </c>
      <c r="U3664" s="218">
        <v>0</v>
      </c>
      <c r="V3664" s="219">
        <v>400176.14</v>
      </c>
      <c r="W3664" s="219">
        <v>0</v>
      </c>
    </row>
    <row r="3665" spans="1:23" ht="15" customHeight="1">
      <c r="C3665" s="3">
        <v>96</v>
      </c>
      <c r="G3665" s="26"/>
      <c r="H3665" s="26"/>
      <c r="I3665" s="26"/>
      <c r="J3665" s="26"/>
      <c r="K3665" s="26"/>
      <c r="L3665" s="26"/>
      <c r="M3665" s="26"/>
      <c r="N3665" s="26"/>
      <c r="P3665" s="214">
        <v>2888</v>
      </c>
      <c r="Q3665" s="215">
        <v>96</v>
      </c>
      <c r="R3665" s="216" t="s">
        <v>2623</v>
      </c>
      <c r="S3665" s="217"/>
      <c r="T3665" s="218"/>
      <c r="U3665" s="218"/>
      <c r="V3665" s="219"/>
      <c r="W3665" s="219"/>
    </row>
    <row r="3666" spans="1:23" ht="15" customHeight="1">
      <c r="B3666" s="2" t="s">
        <v>2317</v>
      </c>
      <c r="C3666" s="3">
        <v>96</v>
      </c>
      <c r="D3666" s="47" t="s">
        <v>1667</v>
      </c>
      <c r="G3666" s="26">
        <f>SUM(G3664:G3665)</f>
        <v>0</v>
      </c>
      <c r="H3666" s="26">
        <f t="shared" ref="H3666:N3666" si="455">SUM(H3664:H3665)</f>
        <v>0</v>
      </c>
      <c r="I3666" s="26">
        <f t="shared" si="455"/>
        <v>1468819</v>
      </c>
      <c r="J3666" s="26">
        <f t="shared" si="455"/>
        <v>946655</v>
      </c>
      <c r="K3666" s="26">
        <f t="shared" si="455"/>
        <v>97900</v>
      </c>
      <c r="L3666" s="26">
        <f t="shared" si="455"/>
        <v>400176</v>
      </c>
      <c r="M3666" s="26">
        <f t="shared" si="455"/>
        <v>505000</v>
      </c>
      <c r="N3666" s="26">
        <f t="shared" si="455"/>
        <v>193300</v>
      </c>
      <c r="P3666" s="214">
        <v>2889</v>
      </c>
      <c r="Q3666" s="215">
        <v>96</v>
      </c>
      <c r="R3666" s="216" t="s">
        <v>1667</v>
      </c>
      <c r="S3666" s="217"/>
      <c r="T3666" s="218">
        <v>97900</v>
      </c>
      <c r="U3666" s="218">
        <v>0</v>
      </c>
      <c r="V3666" s="219">
        <v>400176.14</v>
      </c>
      <c r="W3666" s="219">
        <v>408.76</v>
      </c>
    </row>
    <row r="3667" spans="1:23" ht="15" customHeight="1">
      <c r="C3667" s="3">
        <v>96</v>
      </c>
      <c r="D3667" s="47"/>
      <c r="G3667" s="26"/>
      <c r="H3667" s="26"/>
      <c r="I3667" s="26"/>
      <c r="J3667" s="26"/>
      <c r="K3667" s="26"/>
      <c r="L3667" s="26"/>
      <c r="M3667" s="26"/>
      <c r="N3667" s="26"/>
      <c r="P3667" s="222"/>
      <c r="Q3667" s="222"/>
      <c r="R3667" s="222"/>
      <c r="S3667" s="223"/>
      <c r="T3667" s="223"/>
      <c r="U3667" s="223"/>
      <c r="V3667" s="224"/>
      <c r="W3667" s="224"/>
    </row>
    <row r="3668" spans="1:23" s="31" customFormat="1" ht="15" customHeight="1">
      <c r="A3668" s="2"/>
      <c r="B3668" s="2" t="s">
        <v>2317</v>
      </c>
      <c r="C3668" s="3">
        <v>96</v>
      </c>
      <c r="D3668" s="54" t="s">
        <v>2291</v>
      </c>
      <c r="E3668" s="54"/>
      <c r="F3668" s="192"/>
      <c r="G3668" s="339">
        <f>SUM(G3666:G3667)</f>
        <v>0</v>
      </c>
      <c r="H3668" s="339">
        <f t="shared" ref="H3668:N3668" si="456">SUM(H3666:H3667)</f>
        <v>0</v>
      </c>
      <c r="I3668" s="339">
        <f t="shared" si="456"/>
        <v>1468819</v>
      </c>
      <c r="J3668" s="339">
        <f t="shared" si="456"/>
        <v>946655</v>
      </c>
      <c r="K3668" s="339">
        <f t="shared" si="456"/>
        <v>97900</v>
      </c>
      <c r="L3668" s="339">
        <f t="shared" si="456"/>
        <v>400176</v>
      </c>
      <c r="M3668" s="339">
        <f t="shared" si="456"/>
        <v>505000</v>
      </c>
      <c r="N3668" s="339">
        <f t="shared" si="456"/>
        <v>193300</v>
      </c>
      <c r="O3668" s="305"/>
      <c r="P3668" s="214">
        <v>2890</v>
      </c>
      <c r="Q3668" s="215">
        <v>96</v>
      </c>
      <c r="R3668" s="216" t="s">
        <v>2618</v>
      </c>
      <c r="S3668" s="217"/>
      <c r="T3668" s="218">
        <v>97900</v>
      </c>
      <c r="U3668" s="218">
        <v>0</v>
      </c>
      <c r="V3668" s="219">
        <v>400176.14</v>
      </c>
      <c r="W3668" s="219">
        <v>408.76</v>
      </c>
    </row>
    <row r="3669" spans="1:23" s="46" customFormat="1" ht="15" customHeight="1">
      <c r="A3669" s="5"/>
      <c r="B3669" s="5"/>
      <c r="C3669" s="3">
        <v>96</v>
      </c>
      <c r="D3669" s="47"/>
      <c r="E3669" s="47"/>
      <c r="F3669" s="191"/>
      <c r="G3669" s="56"/>
      <c r="H3669" s="56"/>
      <c r="I3669" s="56"/>
      <c r="J3669" s="56"/>
      <c r="K3669" s="56"/>
      <c r="L3669" s="56"/>
      <c r="M3669" s="56"/>
      <c r="N3669" s="56"/>
      <c r="O3669" s="289"/>
      <c r="P3669" s="221"/>
      <c r="Q3669" s="221"/>
      <c r="R3669" s="221"/>
      <c r="S3669" s="221"/>
      <c r="T3669" s="221"/>
      <c r="U3669" s="221"/>
      <c r="V3669" s="221"/>
      <c r="W3669" s="221"/>
    </row>
    <row r="3670" spans="1:23" s="33" customFormat="1" ht="15" customHeight="1" thickBot="1">
      <c r="A3670" s="2"/>
      <c r="B3670" s="2" t="s">
        <v>2317</v>
      </c>
      <c r="C3670" s="3">
        <v>96</v>
      </c>
      <c r="D3670" s="329" t="s">
        <v>2267</v>
      </c>
      <c r="E3670" s="329"/>
      <c r="F3670" s="330"/>
      <c r="G3670" s="336">
        <f>+G3654-G3668</f>
        <v>0</v>
      </c>
      <c r="H3670" s="336">
        <f t="shared" ref="H3670:N3670" si="457">+H3654-H3668</f>
        <v>0</v>
      </c>
      <c r="I3670" s="336">
        <f t="shared" si="457"/>
        <v>1692996</v>
      </c>
      <c r="J3670" s="336">
        <f t="shared" si="457"/>
        <v>-935907</v>
      </c>
      <c r="K3670" s="336">
        <f t="shared" si="457"/>
        <v>-97900</v>
      </c>
      <c r="L3670" s="336">
        <f t="shared" si="457"/>
        <v>-396499</v>
      </c>
      <c r="M3670" s="336">
        <f t="shared" si="457"/>
        <v>-500000</v>
      </c>
      <c r="N3670" s="336">
        <f t="shared" si="457"/>
        <v>-190800</v>
      </c>
      <c r="O3670" s="301"/>
      <c r="P3670" s="214">
        <v>2891</v>
      </c>
      <c r="Q3670" s="215">
        <v>96</v>
      </c>
      <c r="R3670" s="216" t="s">
        <v>2619</v>
      </c>
      <c r="S3670" s="217"/>
      <c r="T3670" s="218">
        <v>-97900</v>
      </c>
      <c r="U3670" s="218">
        <v>309.02999999999997</v>
      </c>
      <c r="V3670" s="219">
        <v>-396190.39</v>
      </c>
      <c r="W3670" s="219">
        <v>0</v>
      </c>
    </row>
    <row r="3671" spans="1:23" s="46" customFormat="1" ht="15" customHeight="1" thickTop="1">
      <c r="A3671" s="5"/>
      <c r="B3671" s="5"/>
      <c r="C3671" s="3">
        <v>96</v>
      </c>
      <c r="D3671" s="47"/>
      <c r="E3671" s="47"/>
      <c r="F3671" s="191"/>
      <c r="G3671" s="56"/>
      <c r="H3671" s="56"/>
      <c r="I3671" s="56"/>
      <c r="J3671" s="56"/>
      <c r="K3671" s="56"/>
      <c r="L3671" s="56"/>
      <c r="M3671" s="56"/>
      <c r="N3671" s="56"/>
      <c r="O3671" s="289"/>
      <c r="P3671" s="221"/>
      <c r="Q3671" s="221"/>
      <c r="R3671" s="221"/>
      <c r="S3671" s="221"/>
      <c r="T3671" s="221"/>
      <c r="U3671" s="221"/>
      <c r="V3671" s="221"/>
      <c r="W3671" s="221"/>
    </row>
    <row r="3672" spans="1:23" ht="15" customHeight="1">
      <c r="C3672" s="3">
        <v>96</v>
      </c>
      <c r="D3672" s="54" t="s">
        <v>2875</v>
      </c>
      <c r="E3672" s="54"/>
      <c r="F3672" s="192"/>
      <c r="G3672" s="55"/>
      <c r="H3672" s="55"/>
      <c r="I3672" s="55"/>
      <c r="J3672" s="55"/>
      <c r="K3672" s="55">
        <f>+K3649</f>
        <v>662228.23</v>
      </c>
      <c r="L3672" s="55"/>
      <c r="M3672" s="55">
        <f>+M3649</f>
        <v>260128.22999999998</v>
      </c>
      <c r="N3672" s="55">
        <f>+N3649</f>
        <v>69328.229999999981</v>
      </c>
      <c r="O3672" s="253"/>
      <c r="P3672" s="203"/>
      <c r="Q3672" s="204"/>
      <c r="R3672" s="205"/>
      <c r="S3672" s="206"/>
      <c r="T3672" s="207"/>
      <c r="U3672" s="207"/>
      <c r="V3672" s="208"/>
      <c r="W3672" s="212"/>
    </row>
    <row r="3673" spans="1:23" s="46" customFormat="1" ht="15" customHeight="1">
      <c r="A3673" s="195"/>
      <c r="B3673" s="195"/>
      <c r="C3673" s="3">
        <v>96</v>
      </c>
      <c r="D3673" s="47"/>
      <c r="E3673" s="47"/>
      <c r="F3673" s="191"/>
      <c r="G3673" s="56"/>
      <c r="H3673" s="56"/>
      <c r="I3673" s="56"/>
      <c r="J3673" s="56"/>
      <c r="K3673" s="56"/>
      <c r="L3673" s="56"/>
      <c r="M3673" s="56"/>
      <c r="N3673" s="56"/>
      <c r="O3673" s="289"/>
      <c r="P3673" s="221"/>
      <c r="Q3673" s="221"/>
      <c r="R3673" s="221"/>
      <c r="S3673" s="221"/>
      <c r="T3673" s="221"/>
      <c r="U3673" s="221"/>
      <c r="V3673" s="221"/>
      <c r="W3673" s="221"/>
    </row>
    <row r="3674" spans="1:23" s="35" customFormat="1" ht="15" customHeight="1">
      <c r="A3674" s="2"/>
      <c r="B3674" s="2"/>
      <c r="C3674" s="3">
        <v>96</v>
      </c>
      <c r="D3674" s="47" t="s">
        <v>1976</v>
      </c>
      <c r="E3674" s="47"/>
      <c r="F3674" s="191"/>
      <c r="G3674" s="48"/>
      <c r="H3674" s="48"/>
      <c r="I3674" s="48"/>
      <c r="J3674" s="48"/>
      <c r="K3674" s="48"/>
      <c r="L3674" s="48"/>
      <c r="M3674" s="48"/>
      <c r="N3674" s="48"/>
      <c r="O3674" s="276"/>
      <c r="P3674" s="214">
        <v>2892</v>
      </c>
      <c r="Q3674" s="215">
        <v>96</v>
      </c>
      <c r="R3674" s="216" t="s">
        <v>2630</v>
      </c>
      <c r="S3674" s="217"/>
      <c r="T3674" s="218"/>
      <c r="U3674" s="218"/>
      <c r="V3674" s="219"/>
      <c r="W3674" s="219"/>
    </row>
    <row r="3675" spans="1:23" s="35" customFormat="1" ht="15" customHeight="1">
      <c r="A3675" s="2"/>
      <c r="B3675" s="2"/>
      <c r="C3675" s="3"/>
      <c r="D3675" s="47"/>
      <c r="E3675" s="47"/>
      <c r="F3675" s="191"/>
      <c r="G3675" s="48"/>
      <c r="H3675" s="48"/>
      <c r="I3675" s="48"/>
      <c r="J3675" s="48"/>
      <c r="K3675" s="48"/>
      <c r="L3675" s="48"/>
      <c r="M3675" s="48"/>
      <c r="N3675" s="48"/>
      <c r="O3675" s="276"/>
    </row>
    <row r="3676" spans="1:23" s="35" customFormat="1" ht="15" customHeight="1">
      <c r="A3676" s="2"/>
      <c r="B3676" s="2"/>
      <c r="C3676" s="3"/>
      <c r="D3676" s="47"/>
      <c r="E3676" s="47"/>
      <c r="F3676" s="191"/>
      <c r="G3676" s="48"/>
      <c r="H3676" s="48"/>
      <c r="I3676" s="48"/>
      <c r="J3676" s="48"/>
      <c r="K3676" s="48"/>
      <c r="L3676" s="48"/>
      <c r="M3676" s="48"/>
      <c r="N3676" s="48"/>
      <c r="O3676" s="276"/>
    </row>
    <row r="3677" spans="1:23" s="35" customFormat="1" ht="15" customHeight="1">
      <c r="A3677" s="2"/>
      <c r="B3677" s="2"/>
      <c r="C3677" s="3"/>
      <c r="D3677" s="47"/>
      <c r="E3677" s="47"/>
      <c r="F3677" s="191"/>
      <c r="G3677" s="48"/>
      <c r="H3677" s="48"/>
      <c r="I3677" s="48"/>
      <c r="J3677" s="48"/>
      <c r="K3677" s="48"/>
      <c r="L3677" s="48"/>
      <c r="M3677" s="48"/>
      <c r="N3677" s="48"/>
      <c r="O3677" s="276"/>
    </row>
    <row r="3678" spans="1:23" s="35" customFormat="1" ht="15" customHeight="1">
      <c r="A3678" s="2"/>
      <c r="B3678" s="2"/>
      <c r="C3678" s="3">
        <v>97</v>
      </c>
      <c r="D3678" s="47" t="s">
        <v>3074</v>
      </c>
      <c r="E3678" s="47"/>
      <c r="F3678" s="191"/>
      <c r="G3678" s="48"/>
      <c r="H3678" s="48"/>
      <c r="I3678" s="48"/>
      <c r="J3678" s="48"/>
      <c r="K3678" s="48"/>
      <c r="L3678" s="48"/>
      <c r="M3678" s="48"/>
      <c r="N3678" s="48"/>
      <c r="O3678" s="276"/>
    </row>
    <row r="3679" spans="1:23" s="35" customFormat="1" ht="15" customHeight="1">
      <c r="A3679" s="2"/>
      <c r="B3679" s="2"/>
      <c r="C3679" s="3">
        <v>97</v>
      </c>
      <c r="D3679" s="47"/>
      <c r="E3679" s="47"/>
      <c r="F3679" s="191"/>
      <c r="G3679" s="48"/>
      <c r="H3679" s="48"/>
      <c r="I3679" s="48"/>
      <c r="J3679" s="48"/>
      <c r="K3679" s="48"/>
      <c r="L3679" s="48"/>
      <c r="M3679" s="48"/>
      <c r="N3679" s="48"/>
      <c r="O3679" s="276"/>
    </row>
    <row r="3680" spans="1:23" ht="15" customHeight="1">
      <c r="C3680" s="3">
        <v>97</v>
      </c>
      <c r="D3680" s="54" t="s">
        <v>2874</v>
      </c>
      <c r="E3680" s="54"/>
      <c r="F3680" s="192"/>
      <c r="G3680" s="55"/>
      <c r="H3680" s="55"/>
      <c r="I3680" s="55"/>
      <c r="J3680" s="55"/>
      <c r="K3680" s="55">
        <v>2.65</v>
      </c>
      <c r="L3680" s="55"/>
      <c r="M3680" s="55">
        <v>2.65</v>
      </c>
      <c r="N3680" s="55">
        <f>+M3696</f>
        <v>16050</v>
      </c>
      <c r="O3680" s="278"/>
      <c r="P3680" s="203"/>
      <c r="Q3680" s="204"/>
      <c r="R3680" s="205"/>
      <c r="S3680" s="206"/>
      <c r="T3680" s="207"/>
      <c r="U3680" s="207"/>
      <c r="V3680" s="208"/>
      <c r="W3680" s="212"/>
    </row>
    <row r="3681" spans="1:23" s="35" customFormat="1" ht="15" customHeight="1">
      <c r="A3681" s="2"/>
      <c r="B3681" s="2"/>
      <c r="C3681" s="3">
        <v>97</v>
      </c>
      <c r="D3681" s="47"/>
      <c r="E3681" s="47"/>
      <c r="F3681" s="191"/>
      <c r="G3681" s="48"/>
      <c r="H3681" s="48"/>
      <c r="I3681" s="48"/>
      <c r="J3681" s="48"/>
      <c r="K3681" s="48"/>
      <c r="L3681" s="48"/>
      <c r="M3681" s="48"/>
      <c r="N3681" s="48"/>
      <c r="O3681" s="276"/>
    </row>
    <row r="3682" spans="1:23" ht="15" customHeight="1">
      <c r="C3682" s="3">
        <v>97</v>
      </c>
      <c r="D3682" s="47" t="s">
        <v>2242</v>
      </c>
      <c r="G3682" s="26"/>
      <c r="H3682" s="26"/>
      <c r="I3682" s="26"/>
      <c r="J3682" s="26"/>
      <c r="K3682" s="26"/>
      <c r="L3682" s="26"/>
      <c r="M3682" s="26"/>
      <c r="N3682" s="26"/>
      <c r="P3682" s="214">
        <v>2893</v>
      </c>
      <c r="Q3682" s="215">
        <v>97</v>
      </c>
      <c r="R3682" s="216" t="s">
        <v>2610</v>
      </c>
      <c r="S3682" s="217"/>
      <c r="T3682" s="218"/>
      <c r="U3682" s="218"/>
      <c r="V3682" s="219"/>
      <c r="W3682" s="219"/>
    </row>
    <row r="3683" spans="1:23" ht="15" customHeight="1">
      <c r="C3683" s="3">
        <v>97</v>
      </c>
      <c r="G3683" s="26"/>
      <c r="H3683" s="26"/>
      <c r="I3683" s="26"/>
      <c r="J3683" s="26"/>
      <c r="K3683" s="26"/>
      <c r="L3683" s="26"/>
      <c r="M3683" s="26"/>
      <c r="N3683" s="26"/>
      <c r="P3683" s="214">
        <v>2894</v>
      </c>
      <c r="Q3683" s="215">
        <v>97</v>
      </c>
      <c r="R3683" s="216" t="s">
        <v>2611</v>
      </c>
      <c r="S3683" s="217"/>
      <c r="T3683" s="218"/>
      <c r="U3683" s="218"/>
      <c r="V3683" s="219"/>
      <c r="W3683" s="219"/>
    </row>
    <row r="3684" spans="1:23" s="21" customFormat="1" ht="15" customHeight="1">
      <c r="A3684" s="2"/>
      <c r="B3684" s="2" t="s">
        <v>2318</v>
      </c>
      <c r="C3684" s="3">
        <v>97</v>
      </c>
      <c r="D3684" s="54" t="s">
        <v>2218</v>
      </c>
      <c r="E3684" s="54"/>
      <c r="F3684" s="192"/>
      <c r="G3684" s="55">
        <f>+G3686</f>
        <v>2964498</v>
      </c>
      <c r="H3684" s="55">
        <f t="shared" ref="H3684:N3684" si="458">+H3686</f>
        <v>149355</v>
      </c>
      <c r="I3684" s="55">
        <f t="shared" si="458"/>
        <v>0</v>
      </c>
      <c r="J3684" s="55">
        <f t="shared" si="458"/>
        <v>0</v>
      </c>
      <c r="K3684" s="55">
        <f t="shared" si="458"/>
        <v>0</v>
      </c>
      <c r="L3684" s="55">
        <f t="shared" si="458"/>
        <v>0</v>
      </c>
      <c r="M3684" s="55">
        <f t="shared" si="458"/>
        <v>16050</v>
      </c>
      <c r="N3684" s="55">
        <f t="shared" si="458"/>
        <v>16250</v>
      </c>
      <c r="O3684" s="279"/>
      <c r="P3684" s="214">
        <v>2895</v>
      </c>
      <c r="Q3684" s="215">
        <v>97</v>
      </c>
      <c r="R3684" s="216" t="s">
        <v>2612</v>
      </c>
      <c r="S3684" s="217"/>
      <c r="T3684" s="218">
        <v>0</v>
      </c>
      <c r="U3684" s="218">
        <v>3786.16</v>
      </c>
      <c r="V3684" s="219">
        <v>3786.16</v>
      </c>
      <c r="W3684" s="219">
        <v>0</v>
      </c>
    </row>
    <row r="3685" spans="1:23" s="57" customFormat="1" ht="15" customHeight="1">
      <c r="A3685" s="5"/>
      <c r="B3685" s="5"/>
      <c r="C3685" s="3">
        <v>97</v>
      </c>
      <c r="D3685" s="54"/>
      <c r="E3685" s="54"/>
      <c r="F3685" s="192"/>
      <c r="G3685" s="55"/>
      <c r="H3685" s="55"/>
      <c r="I3685" s="55"/>
      <c r="J3685" s="55"/>
      <c r="K3685" s="55"/>
      <c r="L3685" s="55"/>
      <c r="M3685" s="55"/>
      <c r="N3685" s="55"/>
      <c r="O3685" s="302"/>
      <c r="P3685" s="220"/>
      <c r="Q3685" s="220"/>
      <c r="R3685" s="220"/>
      <c r="S3685" s="220"/>
      <c r="T3685" s="220"/>
      <c r="U3685" s="220"/>
      <c r="V3685" s="220"/>
      <c r="W3685" s="220"/>
    </row>
    <row r="3686" spans="1:23" s="27" customFormat="1" ht="15" customHeight="1" thickBot="1">
      <c r="A3686" s="2"/>
      <c r="B3686" s="2" t="s">
        <v>2318</v>
      </c>
      <c r="C3686" s="3">
        <v>97</v>
      </c>
      <c r="D3686" s="68" t="str">
        <f>+D3703</f>
        <v>*** TOTAL FUND 97 REVENUES ***</v>
      </c>
      <c r="E3686" s="68"/>
      <c r="F3686" s="68">
        <f>+F3703</f>
        <v>0</v>
      </c>
      <c r="G3686" s="69">
        <f>+G3703</f>
        <v>2964498</v>
      </c>
      <c r="H3686" s="69">
        <f t="shared" ref="H3686:N3686" si="459">+H3703</f>
        <v>149355</v>
      </c>
      <c r="I3686" s="69">
        <f t="shared" si="459"/>
        <v>0</v>
      </c>
      <c r="J3686" s="69">
        <f t="shared" si="459"/>
        <v>0</v>
      </c>
      <c r="K3686" s="69">
        <f t="shared" si="459"/>
        <v>0</v>
      </c>
      <c r="L3686" s="69">
        <f t="shared" si="459"/>
        <v>0</v>
      </c>
      <c r="M3686" s="69">
        <f t="shared" si="459"/>
        <v>16050</v>
      </c>
      <c r="N3686" s="69">
        <f t="shared" si="459"/>
        <v>16250</v>
      </c>
      <c r="O3686" s="281"/>
      <c r="P3686" s="214">
        <v>2896</v>
      </c>
      <c r="Q3686" s="215">
        <v>97</v>
      </c>
      <c r="R3686" s="216" t="s">
        <v>2613</v>
      </c>
      <c r="S3686" s="217"/>
      <c r="T3686" s="218">
        <v>0</v>
      </c>
      <c r="U3686" s="218">
        <v>3786.16</v>
      </c>
      <c r="V3686" s="219">
        <v>3786.16</v>
      </c>
      <c r="W3686" s="219">
        <v>0</v>
      </c>
    </row>
    <row r="3687" spans="1:23" s="46" customFormat="1" ht="15" customHeight="1" thickTop="1">
      <c r="A3687" s="5"/>
      <c r="B3687" s="5"/>
      <c r="C3687" s="3">
        <v>97</v>
      </c>
      <c r="D3687" s="47"/>
      <c r="E3687" s="47"/>
      <c r="F3687" s="47"/>
      <c r="G3687" s="56"/>
      <c r="H3687" s="56"/>
      <c r="I3687" s="56"/>
      <c r="J3687" s="56"/>
      <c r="K3687" s="56"/>
      <c r="L3687" s="56"/>
      <c r="M3687" s="56"/>
      <c r="N3687" s="56"/>
      <c r="O3687" s="289"/>
      <c r="P3687" s="221"/>
      <c r="Q3687" s="221"/>
      <c r="R3687" s="221"/>
      <c r="S3687" s="221"/>
      <c r="T3687" s="221"/>
      <c r="U3687" s="221"/>
      <c r="V3687" s="221"/>
      <c r="W3687" s="221"/>
    </row>
    <row r="3688" spans="1:23" ht="15" customHeight="1">
      <c r="C3688" s="3">
        <v>97</v>
      </c>
      <c r="D3688" s="47" t="s">
        <v>1977</v>
      </c>
      <c r="G3688" s="26"/>
      <c r="H3688" s="26"/>
      <c r="I3688" s="26"/>
      <c r="J3688" s="26"/>
      <c r="K3688" s="26"/>
      <c r="L3688" s="26"/>
      <c r="M3688" s="26"/>
      <c r="N3688" s="26"/>
      <c r="P3688" s="214">
        <v>2897</v>
      </c>
      <c r="Q3688" s="215">
        <v>97</v>
      </c>
      <c r="R3688" s="216" t="s">
        <v>2614</v>
      </c>
      <c r="S3688" s="217"/>
      <c r="T3688" s="218"/>
      <c r="U3688" s="218"/>
      <c r="V3688" s="219"/>
      <c r="W3688" s="219"/>
    </row>
    <row r="3689" spans="1:23" ht="15" customHeight="1">
      <c r="C3689" s="3">
        <v>97</v>
      </c>
      <c r="G3689" s="26"/>
      <c r="H3689" s="26"/>
      <c r="I3689" s="26"/>
      <c r="J3689" s="26"/>
      <c r="K3689" s="26"/>
      <c r="L3689" s="26"/>
      <c r="M3689" s="26"/>
      <c r="N3689" s="26"/>
      <c r="P3689" s="214">
        <v>2898</v>
      </c>
      <c r="Q3689" s="215">
        <v>97</v>
      </c>
      <c r="R3689" s="216" t="s">
        <v>2615</v>
      </c>
      <c r="S3689" s="217"/>
      <c r="T3689" s="218"/>
      <c r="U3689" s="218"/>
      <c r="V3689" s="219"/>
      <c r="W3689" s="219"/>
    </row>
    <row r="3690" spans="1:23" ht="15" customHeight="1">
      <c r="B3690" s="2" t="s">
        <v>2318</v>
      </c>
      <c r="C3690" s="3">
        <v>97</v>
      </c>
      <c r="D3690" s="47" t="s">
        <v>1667</v>
      </c>
      <c r="G3690" s="26">
        <f>+G3715</f>
        <v>1513819</v>
      </c>
      <c r="H3690" s="26">
        <f t="shared" ref="H3690:N3690" si="460">+H3715</f>
        <v>1543521</v>
      </c>
      <c r="I3690" s="26">
        <f t="shared" si="460"/>
        <v>0</v>
      </c>
      <c r="J3690" s="26">
        <f t="shared" si="460"/>
        <v>0</v>
      </c>
      <c r="K3690" s="26">
        <f t="shared" si="460"/>
        <v>0</v>
      </c>
      <c r="L3690" s="26">
        <f t="shared" si="460"/>
        <v>0</v>
      </c>
      <c r="M3690" s="26">
        <f t="shared" si="460"/>
        <v>2.65</v>
      </c>
      <c r="N3690" s="26">
        <f t="shared" si="460"/>
        <v>32000</v>
      </c>
      <c r="P3690" s="214">
        <v>2899</v>
      </c>
      <c r="Q3690" s="215">
        <v>97</v>
      </c>
      <c r="R3690" s="216" t="s">
        <v>1667</v>
      </c>
      <c r="S3690" s="217"/>
      <c r="T3690" s="218">
        <v>0</v>
      </c>
      <c r="U3690" s="218">
        <v>2.65</v>
      </c>
      <c r="V3690" s="219">
        <v>2.65</v>
      </c>
      <c r="W3690" s="219">
        <v>0</v>
      </c>
    </row>
    <row r="3691" spans="1:23" ht="15" customHeight="1">
      <c r="C3691" s="3">
        <v>97</v>
      </c>
      <c r="D3691" s="47"/>
      <c r="G3691" s="26"/>
      <c r="H3691" s="26"/>
      <c r="I3691" s="26"/>
      <c r="J3691" s="26"/>
      <c r="K3691" s="26"/>
      <c r="L3691" s="26"/>
      <c r="M3691" s="26"/>
      <c r="N3691" s="26"/>
      <c r="P3691" s="222"/>
      <c r="Q3691" s="222"/>
      <c r="R3691" s="222"/>
      <c r="S3691" s="223"/>
      <c r="T3691" s="223"/>
      <c r="U3691" s="223"/>
      <c r="V3691" s="224"/>
      <c r="W3691" s="224"/>
    </row>
    <row r="3692" spans="1:23" s="37" customFormat="1" ht="15" customHeight="1">
      <c r="A3692" s="2"/>
      <c r="B3692" s="2" t="s">
        <v>2318</v>
      </c>
      <c r="C3692" s="3">
        <v>97</v>
      </c>
      <c r="D3692" s="54" t="str">
        <f>+D3717</f>
        <v>*** TOTAL FUND 97 EXPENSES ***</v>
      </c>
      <c r="E3692" s="54"/>
      <c r="F3692" s="54">
        <f t="shared" ref="F3692:N3692" si="461">+F3717</f>
        <v>0</v>
      </c>
      <c r="G3692" s="339">
        <f t="shared" si="461"/>
        <v>1513819</v>
      </c>
      <c r="H3692" s="339">
        <f t="shared" si="461"/>
        <v>1543521</v>
      </c>
      <c r="I3692" s="339">
        <f t="shared" si="461"/>
        <v>0</v>
      </c>
      <c r="J3692" s="339">
        <f t="shared" si="461"/>
        <v>0</v>
      </c>
      <c r="K3692" s="339">
        <f t="shared" si="461"/>
        <v>0</v>
      </c>
      <c r="L3692" s="339">
        <f t="shared" si="461"/>
        <v>0</v>
      </c>
      <c r="M3692" s="339">
        <f t="shared" si="461"/>
        <v>2.65</v>
      </c>
      <c r="N3692" s="339">
        <f t="shared" si="461"/>
        <v>32000</v>
      </c>
      <c r="O3692" s="303"/>
      <c r="P3692" s="214">
        <v>2900</v>
      </c>
      <c r="Q3692" s="215">
        <v>97</v>
      </c>
      <c r="R3692" s="216" t="s">
        <v>2618</v>
      </c>
      <c r="S3692" s="217"/>
      <c r="T3692" s="218">
        <v>0</v>
      </c>
      <c r="U3692" s="218">
        <v>2.65</v>
      </c>
      <c r="V3692" s="219">
        <v>2.65</v>
      </c>
      <c r="W3692" s="219">
        <v>0</v>
      </c>
    </row>
    <row r="3693" spans="1:23" s="46" customFormat="1" ht="15" customHeight="1">
      <c r="A3693" s="5"/>
      <c r="B3693" s="5"/>
      <c r="C3693" s="3">
        <v>97</v>
      </c>
      <c r="D3693" s="47"/>
      <c r="E3693" s="47"/>
      <c r="F3693" s="47"/>
      <c r="G3693" s="56"/>
      <c r="H3693" s="56"/>
      <c r="I3693" s="56"/>
      <c r="J3693" s="56"/>
      <c r="K3693" s="56"/>
      <c r="L3693" s="56"/>
      <c r="M3693" s="56"/>
      <c r="N3693" s="56"/>
      <c r="O3693" s="289"/>
      <c r="P3693" s="221"/>
      <c r="Q3693" s="221"/>
      <c r="R3693" s="221"/>
      <c r="S3693" s="221"/>
      <c r="T3693" s="221"/>
      <c r="U3693" s="221"/>
      <c r="V3693" s="221"/>
      <c r="W3693" s="221"/>
    </row>
    <row r="3694" spans="1:23" s="33" customFormat="1" ht="15" customHeight="1" thickBot="1">
      <c r="A3694" s="2"/>
      <c r="B3694" s="2" t="s">
        <v>2318</v>
      </c>
      <c r="C3694" s="3">
        <v>97</v>
      </c>
      <c r="D3694" s="335" t="str">
        <f>+D3719</f>
        <v>*** FUND 97 REVENUES OVER(UNDER) EXPENSES ***</v>
      </c>
      <c r="E3694" s="336"/>
      <c r="F3694" s="336">
        <f>+F3719</f>
        <v>0</v>
      </c>
      <c r="G3694" s="336">
        <f>+G3719</f>
        <v>1450679</v>
      </c>
      <c r="H3694" s="336">
        <f t="shared" ref="H3694:N3694" si="462">+H3719</f>
        <v>-1394166</v>
      </c>
      <c r="I3694" s="336">
        <f t="shared" si="462"/>
        <v>0</v>
      </c>
      <c r="J3694" s="336">
        <f t="shared" si="462"/>
        <v>0</v>
      </c>
      <c r="K3694" s="336">
        <f t="shared" si="462"/>
        <v>0</v>
      </c>
      <c r="L3694" s="336">
        <f t="shared" si="462"/>
        <v>0</v>
      </c>
      <c r="M3694" s="336">
        <f t="shared" si="462"/>
        <v>16047.35</v>
      </c>
      <c r="N3694" s="336">
        <f t="shared" si="462"/>
        <v>-15750</v>
      </c>
      <c r="O3694" s="301"/>
      <c r="P3694" s="214">
        <v>2901</v>
      </c>
      <c r="Q3694" s="215">
        <v>97</v>
      </c>
      <c r="R3694" s="216" t="s">
        <v>2619</v>
      </c>
      <c r="S3694" s="217"/>
      <c r="T3694" s="218">
        <v>0</v>
      </c>
      <c r="U3694" s="218">
        <v>3783.51</v>
      </c>
      <c r="V3694" s="219">
        <v>3783.51</v>
      </c>
      <c r="W3694" s="219">
        <v>0</v>
      </c>
    </row>
    <row r="3695" spans="1:23" s="46" customFormat="1" ht="15" customHeight="1" thickTop="1">
      <c r="A3695" s="5"/>
      <c r="B3695" s="5"/>
      <c r="C3695" s="3">
        <v>97</v>
      </c>
      <c r="D3695" s="58"/>
      <c r="E3695" s="56"/>
      <c r="F3695" s="56"/>
      <c r="G3695" s="56"/>
      <c r="H3695" s="56"/>
      <c r="I3695" s="56"/>
      <c r="J3695" s="56"/>
      <c r="K3695" s="56"/>
      <c r="L3695" s="56"/>
      <c r="M3695" s="56"/>
      <c r="N3695" s="56"/>
      <c r="O3695" s="289"/>
      <c r="P3695" s="221"/>
      <c r="Q3695" s="221"/>
      <c r="R3695" s="221"/>
      <c r="S3695" s="221"/>
      <c r="T3695" s="221"/>
      <c r="U3695" s="221"/>
      <c r="V3695" s="221"/>
      <c r="W3695" s="221"/>
    </row>
    <row r="3696" spans="1:23" ht="15" customHeight="1">
      <c r="C3696" s="3">
        <v>97</v>
      </c>
      <c r="D3696" s="54" t="s">
        <v>2875</v>
      </c>
      <c r="E3696" s="54"/>
      <c r="F3696" s="192"/>
      <c r="G3696" s="55"/>
      <c r="H3696" s="55"/>
      <c r="I3696" s="55"/>
      <c r="J3696" s="55"/>
      <c r="K3696" s="55">
        <f>+K3680+K3686-K3692</f>
        <v>2.65</v>
      </c>
      <c r="L3696" s="55"/>
      <c r="M3696" s="55">
        <f>+M3680+M3686-M3692</f>
        <v>16050</v>
      </c>
      <c r="N3696" s="55">
        <f>+N3680+N3686-N3692</f>
        <v>300</v>
      </c>
      <c r="O3696" s="253"/>
      <c r="P3696" s="203"/>
      <c r="Q3696" s="204"/>
      <c r="R3696" s="205"/>
      <c r="S3696" s="206"/>
      <c r="T3696" s="207"/>
      <c r="U3696" s="207"/>
      <c r="V3696" s="208"/>
      <c r="W3696" s="212"/>
    </row>
    <row r="3697" spans="1:23" s="46" customFormat="1" ht="15" customHeight="1">
      <c r="A3697" s="195"/>
      <c r="B3697" s="195"/>
      <c r="C3697" s="3">
        <v>97</v>
      </c>
      <c r="D3697" s="58"/>
      <c r="E3697" s="56"/>
      <c r="F3697" s="56"/>
      <c r="G3697" s="56"/>
      <c r="H3697" s="56"/>
      <c r="I3697" s="56"/>
      <c r="J3697" s="56"/>
      <c r="K3697" s="56"/>
      <c r="L3697" s="56"/>
      <c r="M3697" s="26"/>
      <c r="N3697" s="26"/>
      <c r="O3697" s="289"/>
      <c r="P3697" s="221"/>
      <c r="Q3697" s="221"/>
      <c r="R3697" s="221"/>
      <c r="S3697" s="221"/>
      <c r="T3697" s="221"/>
      <c r="U3697" s="221"/>
      <c r="V3697" s="221"/>
      <c r="W3697" s="221"/>
    </row>
    <row r="3698" spans="1:23" ht="15" customHeight="1">
      <c r="C3698" s="3">
        <v>97</v>
      </c>
      <c r="D3698" s="15">
        <v>4050</v>
      </c>
      <c r="E3698" s="312" t="s">
        <v>2535</v>
      </c>
      <c r="G3698" s="26">
        <v>0</v>
      </c>
      <c r="H3698" s="26">
        <v>0</v>
      </c>
      <c r="I3698" s="26">
        <v>0</v>
      </c>
      <c r="J3698" s="26">
        <v>0</v>
      </c>
      <c r="K3698" s="26">
        <v>0</v>
      </c>
      <c r="L3698" s="26">
        <v>0</v>
      </c>
      <c r="M3698" s="26">
        <v>16000</v>
      </c>
      <c r="N3698" s="26">
        <v>16000</v>
      </c>
      <c r="O3698" s="285" t="s">
        <v>2920</v>
      </c>
      <c r="P3698" s="214">
        <v>2902</v>
      </c>
      <c r="Q3698" s="215">
        <v>97</v>
      </c>
      <c r="R3698" s="216">
        <v>4050</v>
      </c>
      <c r="S3698" s="217" t="s">
        <v>2535</v>
      </c>
      <c r="T3698" s="218">
        <v>0</v>
      </c>
      <c r="U3698" s="218">
        <v>3783.77</v>
      </c>
      <c r="V3698" s="219">
        <v>3783.77</v>
      </c>
      <c r="W3698" s="219">
        <v>0</v>
      </c>
    </row>
    <row r="3699" spans="1:23" ht="15" customHeight="1">
      <c r="C3699" s="3">
        <v>97</v>
      </c>
      <c r="D3699" s="15">
        <v>4130</v>
      </c>
      <c r="E3699" s="312" t="s">
        <v>1954</v>
      </c>
      <c r="G3699" s="26">
        <v>2409978</v>
      </c>
      <c r="H3699" s="26">
        <v>90523</v>
      </c>
      <c r="I3699" s="26">
        <v>0</v>
      </c>
      <c r="J3699" s="26">
        <v>0</v>
      </c>
      <c r="K3699" s="26">
        <v>0</v>
      </c>
      <c r="L3699" s="26">
        <v>0</v>
      </c>
      <c r="M3699" s="26">
        <v>0</v>
      </c>
      <c r="N3699" s="26">
        <v>0</v>
      </c>
      <c r="O3699" s="285"/>
      <c r="P3699" s="214">
        <v>2903</v>
      </c>
      <c r="Q3699" s="215">
        <v>97</v>
      </c>
      <c r="R3699" s="216">
        <v>4130</v>
      </c>
      <c r="S3699" s="217" t="s">
        <v>1954</v>
      </c>
      <c r="T3699" s="218">
        <v>0</v>
      </c>
      <c r="U3699" s="218">
        <v>0</v>
      </c>
      <c r="V3699" s="219">
        <v>0</v>
      </c>
      <c r="W3699" s="219">
        <v>0</v>
      </c>
    </row>
    <row r="3700" spans="1:23" ht="15" customHeight="1">
      <c r="C3700" s="3">
        <v>97</v>
      </c>
      <c r="D3700" s="15">
        <v>4330</v>
      </c>
      <c r="E3700" s="312" t="s">
        <v>1669</v>
      </c>
      <c r="G3700" s="26">
        <v>554520</v>
      </c>
      <c r="H3700" s="26">
        <v>7794</v>
      </c>
      <c r="I3700" s="26">
        <v>0</v>
      </c>
      <c r="J3700" s="26">
        <v>0</v>
      </c>
      <c r="K3700" s="26">
        <v>0</v>
      </c>
      <c r="L3700" s="26">
        <v>0</v>
      </c>
      <c r="M3700" s="26">
        <v>50</v>
      </c>
      <c r="N3700" s="26">
        <v>250</v>
      </c>
      <c r="O3700" s="285"/>
      <c r="P3700" s="214">
        <v>2904</v>
      </c>
      <c r="Q3700" s="215">
        <v>97</v>
      </c>
      <c r="R3700" s="216">
        <v>4330</v>
      </c>
      <c r="S3700" s="217" t="s">
        <v>1669</v>
      </c>
      <c r="T3700" s="218">
        <v>0</v>
      </c>
      <c r="U3700" s="218">
        <v>2.39</v>
      </c>
      <c r="V3700" s="219">
        <v>2.39</v>
      </c>
      <c r="W3700" s="219">
        <v>0</v>
      </c>
    </row>
    <row r="3701" spans="1:23" ht="15" customHeight="1">
      <c r="C3701" s="3">
        <v>97</v>
      </c>
      <c r="D3701" s="15">
        <v>4890</v>
      </c>
      <c r="E3701" s="312" t="s">
        <v>66</v>
      </c>
      <c r="G3701" s="26">
        <v>0</v>
      </c>
      <c r="H3701" s="26">
        <v>51038</v>
      </c>
      <c r="I3701" s="26">
        <v>0</v>
      </c>
      <c r="J3701" s="26">
        <v>0</v>
      </c>
      <c r="K3701" s="26">
        <v>0</v>
      </c>
      <c r="L3701" s="26">
        <v>0</v>
      </c>
      <c r="M3701" s="26">
        <v>0</v>
      </c>
      <c r="N3701" s="26">
        <v>0</v>
      </c>
      <c r="O3701" s="285"/>
      <c r="P3701" s="214">
        <v>2905</v>
      </c>
      <c r="Q3701" s="215">
        <v>97</v>
      </c>
      <c r="R3701" s="216">
        <v>4890</v>
      </c>
      <c r="S3701" s="217" t="s">
        <v>66</v>
      </c>
      <c r="T3701" s="218">
        <v>0</v>
      </c>
      <c r="U3701" s="218">
        <v>0</v>
      </c>
      <c r="V3701" s="219">
        <v>0</v>
      </c>
      <c r="W3701" s="219">
        <v>0</v>
      </c>
    </row>
    <row r="3702" spans="1:23" ht="15" customHeight="1">
      <c r="C3702" s="3">
        <v>97</v>
      </c>
      <c r="E3702" s="14"/>
      <c r="G3702" s="26"/>
      <c r="H3702" s="26"/>
      <c r="I3702" s="26"/>
      <c r="J3702" s="26"/>
      <c r="K3702" s="26"/>
      <c r="L3702" s="26"/>
      <c r="M3702" s="26"/>
      <c r="N3702" s="26"/>
      <c r="P3702" s="222"/>
      <c r="Q3702" s="222"/>
      <c r="R3702" s="222"/>
      <c r="S3702" s="223"/>
      <c r="T3702" s="223"/>
      <c r="U3702" s="223"/>
      <c r="V3702" s="224"/>
      <c r="W3702" s="224"/>
    </row>
    <row r="3703" spans="1:23" s="27" customFormat="1" ht="15" customHeight="1" thickBot="1">
      <c r="A3703" s="2"/>
      <c r="B3703" s="2" t="s">
        <v>2317</v>
      </c>
      <c r="C3703" s="3">
        <v>97</v>
      </c>
      <c r="D3703" s="68" t="s">
        <v>2316</v>
      </c>
      <c r="E3703" s="68"/>
      <c r="F3703" s="320"/>
      <c r="G3703" s="69">
        <f>SUM(G3697:G3702)</f>
        <v>2964498</v>
      </c>
      <c r="H3703" s="69">
        <f t="shared" ref="H3703:N3703" si="463">SUM(H3697:H3702)</f>
        <v>149355</v>
      </c>
      <c r="I3703" s="69">
        <f t="shared" si="463"/>
        <v>0</v>
      </c>
      <c r="J3703" s="69">
        <f t="shared" si="463"/>
        <v>0</v>
      </c>
      <c r="K3703" s="69">
        <f t="shared" si="463"/>
        <v>0</v>
      </c>
      <c r="L3703" s="69">
        <f t="shared" si="463"/>
        <v>0</v>
      </c>
      <c r="M3703" s="69">
        <f t="shared" si="463"/>
        <v>16050</v>
      </c>
      <c r="N3703" s="69">
        <f t="shared" si="463"/>
        <v>16250</v>
      </c>
      <c r="O3703" s="281"/>
      <c r="P3703" s="214">
        <v>2906</v>
      </c>
      <c r="Q3703" s="215">
        <v>97</v>
      </c>
      <c r="R3703" s="216" t="s">
        <v>2620</v>
      </c>
      <c r="S3703" s="217"/>
      <c r="T3703" s="218">
        <v>0</v>
      </c>
      <c r="U3703" s="218">
        <v>3786.16</v>
      </c>
      <c r="V3703" s="219">
        <v>3786.16</v>
      </c>
      <c r="W3703" s="219">
        <v>0</v>
      </c>
    </row>
    <row r="3704" spans="1:23" s="46" customFormat="1" ht="15" customHeight="1" thickTop="1">
      <c r="A3704" s="5"/>
      <c r="B3704" s="5"/>
      <c r="C3704" s="3">
        <v>97</v>
      </c>
      <c r="D3704" s="47"/>
      <c r="E3704" s="47"/>
      <c r="F3704" s="191"/>
      <c r="G3704" s="56"/>
      <c r="H3704" s="56"/>
      <c r="I3704" s="56"/>
      <c r="J3704" s="56"/>
      <c r="K3704" s="56"/>
      <c r="L3704" s="56"/>
      <c r="M3704" s="56"/>
      <c r="N3704" s="56"/>
      <c r="O3704" s="289"/>
      <c r="P3704" s="221"/>
      <c r="Q3704" s="221"/>
      <c r="R3704" s="221"/>
      <c r="S3704" s="221"/>
      <c r="T3704" s="221"/>
      <c r="U3704" s="221"/>
      <c r="V3704" s="221"/>
      <c r="W3704" s="221"/>
    </row>
    <row r="3705" spans="1:23" ht="15" customHeight="1">
      <c r="C3705" s="3">
        <v>97</v>
      </c>
      <c r="D3705" s="47" t="s">
        <v>1975</v>
      </c>
      <c r="G3705" s="26"/>
      <c r="H3705" s="26"/>
      <c r="I3705" s="26"/>
      <c r="J3705" s="26"/>
      <c r="K3705" s="26"/>
      <c r="L3705" s="26"/>
      <c r="M3705" s="26"/>
      <c r="N3705" s="26"/>
      <c r="P3705" s="214">
        <v>2907</v>
      </c>
      <c r="Q3705" s="215">
        <v>97</v>
      </c>
      <c r="R3705" s="216" t="s">
        <v>245</v>
      </c>
      <c r="S3705" s="217"/>
      <c r="T3705" s="218"/>
      <c r="U3705" s="218"/>
      <c r="V3705" s="219"/>
      <c r="W3705" s="219"/>
    </row>
    <row r="3706" spans="1:23" ht="15" customHeight="1">
      <c r="C3706" s="3">
        <v>97</v>
      </c>
      <c r="G3706" s="26"/>
      <c r="H3706" s="26"/>
      <c r="I3706" s="26"/>
      <c r="J3706" s="26"/>
      <c r="K3706" s="26"/>
      <c r="L3706" s="26"/>
      <c r="M3706" s="26"/>
      <c r="N3706" s="26"/>
      <c r="P3706" s="214">
        <v>2908</v>
      </c>
      <c r="Q3706" s="215">
        <v>97</v>
      </c>
      <c r="R3706" s="216" t="s">
        <v>2628</v>
      </c>
      <c r="S3706" s="217"/>
      <c r="T3706" s="218"/>
      <c r="U3706" s="218"/>
      <c r="V3706" s="219"/>
      <c r="W3706" s="219"/>
    </row>
    <row r="3707" spans="1:23" ht="15" customHeight="1">
      <c r="C3707" s="3">
        <v>97</v>
      </c>
      <c r="D3707" s="15" t="s">
        <v>1670</v>
      </c>
      <c r="E3707" s="312" t="s">
        <v>1671</v>
      </c>
      <c r="G3707" s="26">
        <v>0</v>
      </c>
      <c r="H3707" s="26">
        <v>5250</v>
      </c>
      <c r="I3707" s="26">
        <v>0</v>
      </c>
      <c r="J3707" s="26">
        <v>0</v>
      </c>
      <c r="K3707" s="26">
        <v>0</v>
      </c>
      <c r="L3707" s="26">
        <v>0</v>
      </c>
      <c r="M3707" s="26">
        <v>0</v>
      </c>
      <c r="N3707" s="26">
        <v>32000</v>
      </c>
      <c r="O3707" s="285"/>
      <c r="P3707" s="214">
        <v>2909</v>
      </c>
      <c r="Q3707" s="215">
        <v>97</v>
      </c>
      <c r="R3707" s="216" t="s">
        <v>1670</v>
      </c>
      <c r="S3707" s="217" t="s">
        <v>1671</v>
      </c>
      <c r="T3707" s="218">
        <v>0</v>
      </c>
      <c r="U3707" s="218">
        <v>0</v>
      </c>
      <c r="V3707" s="219">
        <v>0</v>
      </c>
      <c r="W3707" s="219">
        <v>0</v>
      </c>
    </row>
    <row r="3708" spans="1:23" ht="15" customHeight="1">
      <c r="C3708" s="3">
        <v>97</v>
      </c>
      <c r="D3708" s="15" t="s">
        <v>1672</v>
      </c>
      <c r="E3708" s="312" t="s">
        <v>1673</v>
      </c>
      <c r="G3708" s="26">
        <v>-104631</v>
      </c>
      <c r="H3708" s="26">
        <v>511018</v>
      </c>
      <c r="I3708" s="26">
        <v>0</v>
      </c>
      <c r="J3708" s="26">
        <v>0</v>
      </c>
      <c r="K3708" s="26">
        <v>0</v>
      </c>
      <c r="L3708" s="26">
        <v>0</v>
      </c>
      <c r="M3708" s="26">
        <v>0</v>
      </c>
      <c r="N3708" s="26">
        <v>0</v>
      </c>
      <c r="O3708" s="285"/>
      <c r="P3708" s="214">
        <v>2910</v>
      </c>
      <c r="Q3708" s="215">
        <v>97</v>
      </c>
      <c r="R3708" s="216" t="s">
        <v>1672</v>
      </c>
      <c r="S3708" s="217" t="s">
        <v>1673</v>
      </c>
      <c r="T3708" s="218">
        <v>0</v>
      </c>
      <c r="U3708" s="218">
        <v>0</v>
      </c>
      <c r="V3708" s="219">
        <v>0</v>
      </c>
      <c r="W3708" s="219">
        <v>0</v>
      </c>
    </row>
    <row r="3709" spans="1:23" ht="15" customHeight="1">
      <c r="C3709" s="3">
        <v>97</v>
      </c>
      <c r="D3709" s="15" t="s">
        <v>1674</v>
      </c>
      <c r="E3709" s="312" t="s">
        <v>1675</v>
      </c>
      <c r="G3709" s="26">
        <v>0</v>
      </c>
      <c r="H3709" s="26">
        <v>0</v>
      </c>
      <c r="I3709" s="26">
        <v>0</v>
      </c>
      <c r="J3709" s="26">
        <v>0</v>
      </c>
      <c r="K3709" s="26">
        <v>0</v>
      </c>
      <c r="L3709" s="26">
        <v>0</v>
      </c>
      <c r="M3709" s="26">
        <v>0</v>
      </c>
      <c r="N3709" s="26">
        <v>0</v>
      </c>
      <c r="O3709" s="285"/>
      <c r="P3709" s="214">
        <v>2911</v>
      </c>
      <c r="Q3709" s="215">
        <v>97</v>
      </c>
      <c r="R3709" s="216" t="s">
        <v>1674</v>
      </c>
      <c r="S3709" s="217" t="s">
        <v>1675</v>
      </c>
      <c r="T3709" s="218">
        <v>0</v>
      </c>
      <c r="U3709" s="218">
        <v>0</v>
      </c>
      <c r="V3709" s="219">
        <v>0</v>
      </c>
      <c r="W3709" s="219">
        <v>0</v>
      </c>
    </row>
    <row r="3710" spans="1:23" ht="15" customHeight="1">
      <c r="C3710" s="3">
        <v>97</v>
      </c>
      <c r="D3710" s="15" t="s">
        <v>1676</v>
      </c>
      <c r="E3710" s="312" t="s">
        <v>1677</v>
      </c>
      <c r="G3710" s="26">
        <v>1652124</v>
      </c>
      <c r="H3710" s="26">
        <v>1027253</v>
      </c>
      <c r="I3710" s="26">
        <v>0</v>
      </c>
      <c r="J3710" s="26">
        <v>0</v>
      </c>
      <c r="K3710" s="26">
        <v>0</v>
      </c>
      <c r="L3710" s="26">
        <v>0</v>
      </c>
      <c r="M3710" s="26">
        <v>0</v>
      </c>
      <c r="N3710" s="26">
        <v>0</v>
      </c>
      <c r="O3710" s="285"/>
      <c r="P3710" s="214">
        <v>2912</v>
      </c>
      <c r="Q3710" s="215">
        <v>97</v>
      </c>
      <c r="R3710" s="216" t="s">
        <v>1676</v>
      </c>
      <c r="S3710" s="217" t="s">
        <v>1677</v>
      </c>
      <c r="T3710" s="218">
        <v>0</v>
      </c>
      <c r="U3710" s="218">
        <v>0</v>
      </c>
      <c r="V3710" s="219">
        <v>0</v>
      </c>
      <c r="W3710" s="219">
        <v>0</v>
      </c>
    </row>
    <row r="3711" spans="1:23" ht="15" customHeight="1">
      <c r="C3711" s="3">
        <v>97</v>
      </c>
      <c r="D3711" s="15" t="s">
        <v>1678</v>
      </c>
      <c r="E3711" s="312" t="s">
        <v>1679</v>
      </c>
      <c r="G3711" s="26">
        <v>-33674</v>
      </c>
      <c r="H3711" s="26">
        <v>0</v>
      </c>
      <c r="I3711" s="26">
        <v>0</v>
      </c>
      <c r="J3711" s="26">
        <v>0</v>
      </c>
      <c r="K3711" s="26">
        <v>0</v>
      </c>
      <c r="L3711" s="26">
        <v>0</v>
      </c>
      <c r="M3711" s="26">
        <v>2.65</v>
      </c>
      <c r="N3711" s="26">
        <v>0</v>
      </c>
      <c r="O3711" s="285"/>
      <c r="P3711" s="214">
        <v>2913</v>
      </c>
      <c r="Q3711" s="215">
        <v>97</v>
      </c>
      <c r="R3711" s="216" t="s">
        <v>1678</v>
      </c>
      <c r="S3711" s="217" t="s">
        <v>1679</v>
      </c>
      <c r="T3711" s="218">
        <v>0</v>
      </c>
      <c r="U3711" s="218">
        <v>2.65</v>
      </c>
      <c r="V3711" s="219">
        <v>2.65</v>
      </c>
      <c r="W3711" s="219">
        <v>0</v>
      </c>
    </row>
    <row r="3712" spans="1:23" ht="15" customHeight="1">
      <c r="C3712" s="3">
        <v>97</v>
      </c>
      <c r="G3712" s="26"/>
      <c r="H3712" s="26"/>
      <c r="I3712" s="26"/>
      <c r="J3712" s="26"/>
      <c r="K3712" s="26"/>
      <c r="L3712" s="26"/>
      <c r="M3712" s="26"/>
      <c r="N3712" s="26"/>
      <c r="P3712" s="214">
        <v>2914</v>
      </c>
      <c r="Q3712" s="215">
        <v>97</v>
      </c>
      <c r="R3712" s="216" t="s">
        <v>2623</v>
      </c>
      <c r="S3712" s="217"/>
      <c r="T3712" s="218"/>
      <c r="U3712" s="218"/>
      <c r="V3712" s="219"/>
      <c r="W3712" s="219"/>
    </row>
    <row r="3713" spans="1:23" s="24" customFormat="1" ht="15" customHeight="1">
      <c r="A3713" s="2" t="s">
        <v>245</v>
      </c>
      <c r="B3713" s="2" t="s">
        <v>2317</v>
      </c>
      <c r="C3713" s="3">
        <v>97</v>
      </c>
      <c r="D3713" s="323" t="s">
        <v>1971</v>
      </c>
      <c r="E3713" s="323"/>
      <c r="F3713" s="324"/>
      <c r="G3713" s="325">
        <f>SUM(G3705:G3712)</f>
        <v>1513819</v>
      </c>
      <c r="H3713" s="325">
        <f t="shared" ref="H3713:N3713" si="464">SUM(H3705:H3712)</f>
        <v>1543521</v>
      </c>
      <c r="I3713" s="325">
        <f t="shared" si="464"/>
        <v>0</v>
      </c>
      <c r="J3713" s="325">
        <f t="shared" si="464"/>
        <v>0</v>
      </c>
      <c r="K3713" s="325">
        <f t="shared" si="464"/>
        <v>0</v>
      </c>
      <c r="L3713" s="325">
        <f t="shared" si="464"/>
        <v>0</v>
      </c>
      <c r="M3713" s="325">
        <f t="shared" si="464"/>
        <v>2.65</v>
      </c>
      <c r="N3713" s="325">
        <f t="shared" si="464"/>
        <v>32000</v>
      </c>
      <c r="O3713" s="292"/>
      <c r="P3713" s="214">
        <v>2915</v>
      </c>
      <c r="Q3713" s="215">
        <v>97</v>
      </c>
      <c r="R3713" s="216" t="s">
        <v>245</v>
      </c>
      <c r="S3713" s="217"/>
      <c r="T3713" s="218">
        <v>0</v>
      </c>
      <c r="U3713" s="218">
        <v>2.65</v>
      </c>
      <c r="V3713" s="219">
        <v>2.65</v>
      </c>
      <c r="W3713" s="219">
        <v>0</v>
      </c>
    </row>
    <row r="3714" spans="1:23" ht="15" customHeight="1">
      <c r="C3714" s="3">
        <v>97</v>
      </c>
      <c r="G3714" s="26"/>
      <c r="H3714" s="26"/>
      <c r="I3714" s="26"/>
      <c r="J3714" s="26"/>
      <c r="K3714" s="26"/>
      <c r="L3714" s="26"/>
      <c r="M3714" s="26"/>
      <c r="N3714" s="26"/>
      <c r="P3714" s="214">
        <v>2916</v>
      </c>
      <c r="Q3714" s="215">
        <v>97</v>
      </c>
      <c r="R3714" s="216" t="s">
        <v>2623</v>
      </c>
      <c r="S3714" s="217"/>
      <c r="T3714" s="218"/>
      <c r="U3714" s="218"/>
      <c r="V3714" s="219"/>
      <c r="W3714" s="219"/>
    </row>
    <row r="3715" spans="1:23" ht="15" customHeight="1">
      <c r="B3715" s="2" t="s">
        <v>2317</v>
      </c>
      <c r="C3715" s="3">
        <v>97</v>
      </c>
      <c r="D3715" s="47" t="s">
        <v>1667</v>
      </c>
      <c r="G3715" s="26">
        <f>SUM(G3713:G3714)</f>
        <v>1513819</v>
      </c>
      <c r="H3715" s="26">
        <f t="shared" ref="H3715:N3715" si="465">SUM(H3713:H3714)</f>
        <v>1543521</v>
      </c>
      <c r="I3715" s="26">
        <f t="shared" si="465"/>
        <v>0</v>
      </c>
      <c r="J3715" s="26">
        <f t="shared" si="465"/>
        <v>0</v>
      </c>
      <c r="K3715" s="26">
        <f t="shared" si="465"/>
        <v>0</v>
      </c>
      <c r="L3715" s="26">
        <f t="shared" si="465"/>
        <v>0</v>
      </c>
      <c r="M3715" s="26">
        <f t="shared" si="465"/>
        <v>2.65</v>
      </c>
      <c r="N3715" s="26">
        <f t="shared" si="465"/>
        <v>32000</v>
      </c>
      <c r="P3715" s="214">
        <v>2917</v>
      </c>
      <c r="Q3715" s="215">
        <v>97</v>
      </c>
      <c r="R3715" s="216" t="s">
        <v>1667</v>
      </c>
      <c r="S3715" s="217"/>
      <c r="T3715" s="218">
        <v>0</v>
      </c>
      <c r="U3715" s="218">
        <v>2.65</v>
      </c>
      <c r="V3715" s="219">
        <v>2.65</v>
      </c>
      <c r="W3715" s="219">
        <v>0</v>
      </c>
    </row>
    <row r="3716" spans="1:23" ht="15" customHeight="1">
      <c r="C3716" s="3">
        <v>97</v>
      </c>
      <c r="D3716" s="47"/>
      <c r="G3716" s="26"/>
      <c r="H3716" s="26"/>
      <c r="I3716" s="26"/>
      <c r="J3716" s="26"/>
      <c r="K3716" s="26"/>
      <c r="L3716" s="26"/>
      <c r="M3716" s="26"/>
      <c r="N3716" s="26"/>
      <c r="P3716" s="222"/>
      <c r="Q3716" s="222"/>
      <c r="R3716" s="222"/>
      <c r="S3716" s="223"/>
      <c r="T3716" s="223"/>
      <c r="U3716" s="223"/>
      <c r="V3716" s="224"/>
      <c r="W3716" s="224"/>
    </row>
    <row r="3717" spans="1:23" s="31" customFormat="1" ht="15" customHeight="1">
      <c r="A3717" s="2"/>
      <c r="B3717" s="2" t="s">
        <v>2317</v>
      </c>
      <c r="C3717" s="3">
        <v>97</v>
      </c>
      <c r="D3717" s="54" t="s">
        <v>2292</v>
      </c>
      <c r="E3717" s="54"/>
      <c r="F3717" s="192"/>
      <c r="G3717" s="339">
        <f>SUM(G3715:G3716)</f>
        <v>1513819</v>
      </c>
      <c r="H3717" s="339">
        <f t="shared" ref="H3717:N3717" si="466">SUM(H3715:H3716)</f>
        <v>1543521</v>
      </c>
      <c r="I3717" s="339">
        <f t="shared" si="466"/>
        <v>0</v>
      </c>
      <c r="J3717" s="339">
        <f t="shared" si="466"/>
        <v>0</v>
      </c>
      <c r="K3717" s="339">
        <f t="shared" si="466"/>
        <v>0</v>
      </c>
      <c r="L3717" s="339">
        <f t="shared" si="466"/>
        <v>0</v>
      </c>
      <c r="M3717" s="339">
        <f t="shared" si="466"/>
        <v>2.65</v>
      </c>
      <c r="N3717" s="339">
        <f t="shared" si="466"/>
        <v>32000</v>
      </c>
      <c r="O3717" s="305"/>
      <c r="P3717" s="214">
        <v>2918</v>
      </c>
      <c r="Q3717" s="215">
        <v>97</v>
      </c>
      <c r="R3717" s="216" t="s">
        <v>2618</v>
      </c>
      <c r="S3717" s="217"/>
      <c r="T3717" s="218">
        <v>0</v>
      </c>
      <c r="U3717" s="218">
        <v>2.65</v>
      </c>
      <c r="V3717" s="219">
        <v>2.65</v>
      </c>
      <c r="W3717" s="219">
        <v>0</v>
      </c>
    </row>
    <row r="3718" spans="1:23" s="46" customFormat="1" ht="15" customHeight="1">
      <c r="A3718" s="5"/>
      <c r="B3718" s="5"/>
      <c r="C3718" s="3">
        <v>97</v>
      </c>
      <c r="D3718" s="47"/>
      <c r="E3718" s="47"/>
      <c r="F3718" s="191"/>
      <c r="G3718" s="56"/>
      <c r="H3718" s="56"/>
      <c r="I3718" s="56"/>
      <c r="J3718" s="56"/>
      <c r="K3718" s="56"/>
      <c r="L3718" s="56"/>
      <c r="M3718" s="56"/>
      <c r="N3718" s="56"/>
      <c r="O3718" s="289"/>
      <c r="P3718" s="221"/>
      <c r="Q3718" s="221"/>
      <c r="R3718" s="221"/>
      <c r="S3718" s="221"/>
      <c r="T3718" s="221"/>
      <c r="U3718" s="221"/>
      <c r="V3718" s="221"/>
      <c r="W3718" s="221"/>
    </row>
    <row r="3719" spans="1:23" s="33" customFormat="1" ht="15" customHeight="1" thickBot="1">
      <c r="A3719" s="2"/>
      <c r="B3719" s="2" t="s">
        <v>2317</v>
      </c>
      <c r="C3719" s="3">
        <v>97</v>
      </c>
      <c r="D3719" s="329" t="s">
        <v>2268</v>
      </c>
      <c r="E3719" s="329"/>
      <c r="F3719" s="330"/>
      <c r="G3719" s="336">
        <f>+G3703-G3717</f>
        <v>1450679</v>
      </c>
      <c r="H3719" s="336">
        <f t="shared" ref="H3719:N3719" si="467">+H3703-H3717</f>
        <v>-1394166</v>
      </c>
      <c r="I3719" s="336">
        <f t="shared" si="467"/>
        <v>0</v>
      </c>
      <c r="J3719" s="336">
        <f t="shared" si="467"/>
        <v>0</v>
      </c>
      <c r="K3719" s="336">
        <f t="shared" si="467"/>
        <v>0</v>
      </c>
      <c r="L3719" s="336">
        <f t="shared" si="467"/>
        <v>0</v>
      </c>
      <c r="M3719" s="336">
        <f t="shared" si="467"/>
        <v>16047.35</v>
      </c>
      <c r="N3719" s="336">
        <f t="shared" si="467"/>
        <v>-15750</v>
      </c>
      <c r="O3719" s="301"/>
      <c r="P3719" s="214">
        <v>2919</v>
      </c>
      <c r="Q3719" s="215">
        <v>97</v>
      </c>
      <c r="R3719" s="216" t="s">
        <v>2619</v>
      </c>
      <c r="S3719" s="217"/>
      <c r="T3719" s="218">
        <v>0</v>
      </c>
      <c r="U3719" s="218">
        <v>3783.51</v>
      </c>
      <c r="V3719" s="219">
        <v>3783.51</v>
      </c>
      <c r="W3719" s="219">
        <v>0</v>
      </c>
    </row>
    <row r="3720" spans="1:23" s="46" customFormat="1" ht="15" customHeight="1" thickTop="1">
      <c r="A3720" s="5"/>
      <c r="B3720" s="5"/>
      <c r="C3720" s="3">
        <v>97</v>
      </c>
      <c r="D3720" s="47"/>
      <c r="E3720" s="47"/>
      <c r="F3720" s="191"/>
      <c r="G3720" s="56"/>
      <c r="H3720" s="56"/>
      <c r="I3720" s="56"/>
      <c r="J3720" s="56"/>
      <c r="K3720" s="56"/>
      <c r="L3720" s="56"/>
      <c r="M3720" s="56"/>
      <c r="N3720" s="56"/>
      <c r="O3720" s="289"/>
      <c r="P3720" s="221"/>
      <c r="Q3720" s="221"/>
      <c r="R3720" s="221"/>
      <c r="S3720" s="221"/>
      <c r="T3720" s="221"/>
      <c r="U3720" s="221"/>
      <c r="V3720" s="221"/>
      <c r="W3720" s="221"/>
    </row>
    <row r="3721" spans="1:23" ht="15" customHeight="1">
      <c r="C3721" s="3">
        <v>97</v>
      </c>
      <c r="D3721" s="54" t="s">
        <v>2875</v>
      </c>
      <c r="E3721" s="54"/>
      <c r="F3721" s="192"/>
      <c r="G3721" s="55"/>
      <c r="H3721" s="55"/>
      <c r="I3721" s="55"/>
      <c r="J3721" s="55"/>
      <c r="K3721" s="55">
        <f>+K3696</f>
        <v>2.65</v>
      </c>
      <c r="L3721" s="55"/>
      <c r="M3721" s="55">
        <f>+M3696</f>
        <v>16050</v>
      </c>
      <c r="N3721" s="55">
        <f>+N3696</f>
        <v>300</v>
      </c>
      <c r="O3721" s="253"/>
      <c r="P3721" s="203"/>
      <c r="Q3721" s="204"/>
      <c r="R3721" s="205"/>
      <c r="S3721" s="206"/>
      <c r="T3721" s="207"/>
      <c r="U3721" s="207"/>
      <c r="V3721" s="208"/>
      <c r="W3721" s="212"/>
    </row>
    <row r="3722" spans="1:23" s="46" customFormat="1" ht="15" customHeight="1">
      <c r="A3722" s="195"/>
      <c r="B3722" s="195"/>
      <c r="C3722" s="3">
        <v>97</v>
      </c>
      <c r="D3722" s="47"/>
      <c r="E3722" s="47"/>
      <c r="F3722" s="191"/>
      <c r="G3722" s="56"/>
      <c r="H3722" s="56"/>
      <c r="I3722" s="56"/>
      <c r="J3722" s="56"/>
      <c r="K3722" s="56"/>
      <c r="L3722" s="56"/>
      <c r="M3722" s="56"/>
      <c r="N3722" s="56"/>
      <c r="O3722" s="289"/>
      <c r="P3722" s="221"/>
      <c r="Q3722" s="221"/>
      <c r="R3722" s="221"/>
      <c r="S3722" s="221"/>
      <c r="T3722" s="221"/>
      <c r="U3722" s="221"/>
      <c r="V3722" s="221"/>
      <c r="W3722" s="221"/>
    </row>
    <row r="3723" spans="1:23" s="35" customFormat="1" ht="15" customHeight="1">
      <c r="A3723" s="2"/>
      <c r="B3723" s="2"/>
      <c r="C3723" s="3">
        <v>97</v>
      </c>
      <c r="D3723" s="47" t="s">
        <v>1976</v>
      </c>
      <c r="E3723" s="47"/>
      <c r="F3723" s="191"/>
      <c r="G3723" s="48"/>
      <c r="H3723" s="48"/>
      <c r="I3723" s="48"/>
      <c r="J3723" s="48"/>
      <c r="K3723" s="48"/>
      <c r="L3723" s="48"/>
      <c r="M3723" s="48"/>
      <c r="N3723" s="48"/>
      <c r="O3723" s="276"/>
      <c r="P3723" s="214">
        <v>2920</v>
      </c>
      <c r="Q3723" s="215">
        <v>97</v>
      </c>
      <c r="R3723" s="216" t="s">
        <v>2630</v>
      </c>
      <c r="S3723" s="217"/>
      <c r="T3723" s="218"/>
      <c r="U3723" s="218"/>
      <c r="V3723" s="219"/>
      <c r="W3723" s="219"/>
    </row>
    <row r="3724" spans="1:23" s="35" customFormat="1" ht="15" customHeight="1">
      <c r="A3724" s="2"/>
      <c r="B3724" s="2"/>
      <c r="C3724" s="3"/>
      <c r="D3724" s="47"/>
      <c r="E3724" s="47"/>
      <c r="F3724" s="191"/>
      <c r="G3724" s="48"/>
      <c r="H3724" s="48"/>
      <c r="I3724" s="48"/>
      <c r="J3724" s="48"/>
      <c r="K3724" s="48"/>
      <c r="L3724" s="48"/>
      <c r="M3724" s="48"/>
      <c r="N3724" s="48"/>
      <c r="O3724" s="276"/>
    </row>
    <row r="3725" spans="1:23" s="35" customFormat="1" ht="15" customHeight="1">
      <c r="A3725" s="2"/>
      <c r="B3725" s="2"/>
      <c r="C3725" s="3"/>
      <c r="D3725" s="47"/>
      <c r="E3725" s="47"/>
      <c r="F3725" s="191"/>
      <c r="G3725" s="48"/>
      <c r="H3725" s="48"/>
      <c r="I3725" s="48"/>
      <c r="J3725" s="48"/>
      <c r="K3725" s="48"/>
      <c r="L3725" s="48"/>
      <c r="M3725" s="48"/>
      <c r="N3725" s="48"/>
      <c r="O3725" s="276"/>
      <c r="P3725" s="202"/>
      <c r="Q3725" s="210"/>
      <c r="R3725" s="205"/>
      <c r="S3725" s="206"/>
      <c r="T3725" s="211"/>
      <c r="U3725" s="211"/>
      <c r="V3725" s="213"/>
      <c r="W3725" s="213"/>
    </row>
  </sheetData>
  <pageMargins left="0.52" right="0.63" top="0.39" bottom="0.75" header="0.3" footer="0.3"/>
  <pageSetup orientation="portrait" r:id="rId1"/>
  <headerFooter>
    <oddFooter>&amp;CPage &amp;P</oddFooter>
  </headerFooter>
  <rowBreaks count="4" manualBreakCount="4">
    <brk id="139" max="16383" man="1"/>
    <brk id="1011" max="16383" man="1"/>
    <brk id="1239" max="16383" man="1"/>
    <brk id="188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2310"/>
  <sheetViews>
    <sheetView topLeftCell="A2288" zoomScale="90" zoomScaleNormal="90" workbookViewId="0">
      <selection activeCell="D2310" sqref="D2310:E2310"/>
    </sheetView>
  </sheetViews>
  <sheetFormatPr defaultRowHeight="15" customHeight="1"/>
  <cols>
    <col min="1" max="3" width="9.140625" style="132"/>
    <col min="4" max="4" width="5.42578125" style="132" customWidth="1"/>
    <col min="5" max="5" width="7.42578125" style="132" customWidth="1"/>
    <col min="6" max="6" width="7.5703125" style="132" customWidth="1"/>
    <col min="7" max="7" width="11.28515625" style="132" customWidth="1"/>
    <col min="8" max="8" width="12.28515625" style="132" customWidth="1"/>
    <col min="9" max="9" width="10.85546875" style="132" customWidth="1"/>
    <col min="10" max="10" width="12" style="132" customWidth="1"/>
    <col min="11" max="11" width="11.85546875" style="132" customWidth="1"/>
    <col min="12" max="16384" width="9.140625" style="132"/>
  </cols>
  <sheetData>
    <row r="2" spans="1:10" ht="15" customHeight="1">
      <c r="F2" s="1"/>
    </row>
    <row r="3" spans="1:10" ht="15" customHeight="1">
      <c r="F3" s="1"/>
    </row>
    <row r="4" spans="1:10" ht="15" customHeight="1">
      <c r="A4" s="134"/>
    </row>
    <row r="5" spans="1:10" ht="15" customHeight="1">
      <c r="A5" s="134"/>
    </row>
    <row r="6" spans="1:10" ht="15" customHeight="1">
      <c r="A6" s="133"/>
    </row>
    <row r="7" spans="1:10" ht="15" customHeight="1">
      <c r="A7" s="133"/>
    </row>
    <row r="8" spans="1:10" ht="15" customHeight="1">
      <c r="F8" s="151" t="s">
        <v>2580</v>
      </c>
    </row>
    <row r="9" spans="1:10" ht="15" customHeight="1">
      <c r="A9" s="133"/>
    </row>
    <row r="10" spans="1:10" ht="15" customHeight="1">
      <c r="A10" s="133"/>
      <c r="F10" s="151" t="s">
        <v>2447</v>
      </c>
    </row>
    <row r="11" spans="1:10" ht="15" customHeight="1">
      <c r="A11" s="133"/>
    </row>
    <row r="12" spans="1:10" ht="15" customHeight="1">
      <c r="A12" s="142"/>
      <c r="B12" s="142"/>
      <c r="C12" s="142"/>
      <c r="D12" s="142"/>
      <c r="E12" s="142"/>
      <c r="F12" s="142"/>
      <c r="G12" s="142"/>
      <c r="J12" s="142"/>
    </row>
    <row r="14" spans="1:10" ht="15" customHeight="1">
      <c r="A14" s="132" t="s">
        <v>2448</v>
      </c>
      <c r="C14" s="135"/>
      <c r="D14" s="136"/>
      <c r="E14" s="137"/>
      <c r="G14" s="149" t="s">
        <v>2465</v>
      </c>
      <c r="H14" s="135"/>
      <c r="I14" s="136"/>
      <c r="J14" s="137"/>
    </row>
    <row r="16" spans="1:10" ht="15" customHeight="1">
      <c r="A16" s="134" t="s">
        <v>2456</v>
      </c>
      <c r="C16" s="135" t="s">
        <v>2457</v>
      </c>
      <c r="D16" s="136"/>
      <c r="E16" s="136"/>
      <c r="F16" s="137"/>
      <c r="I16" s="149" t="s">
        <v>2464</v>
      </c>
      <c r="J16" s="150"/>
    </row>
    <row r="17" spans="1:10" ht="15" customHeight="1">
      <c r="D17" s="134"/>
    </row>
    <row r="18" spans="1:10" ht="15" customHeight="1">
      <c r="A18" s="132" t="s">
        <v>2459</v>
      </c>
      <c r="D18" s="135"/>
      <c r="E18" s="136"/>
      <c r="F18" s="136"/>
      <c r="G18" s="136"/>
      <c r="H18" s="136"/>
      <c r="I18" s="136"/>
      <c r="J18" s="137"/>
    </row>
    <row r="20" spans="1:10" ht="15" customHeight="1">
      <c r="A20" s="134" t="s">
        <v>2460</v>
      </c>
    </row>
    <row r="21" spans="1:10" ht="15" customHeight="1">
      <c r="A21" s="134"/>
    </row>
    <row r="22" spans="1:10" ht="15" customHeight="1">
      <c r="A22" s="130"/>
      <c r="B22" s="129"/>
      <c r="C22" s="129"/>
      <c r="D22" s="129"/>
      <c r="E22" s="129"/>
      <c r="F22" s="129"/>
      <c r="G22" s="129"/>
      <c r="H22" s="129"/>
      <c r="I22" s="129"/>
      <c r="J22" s="128"/>
    </row>
    <row r="23" spans="1:10" ht="15" customHeight="1">
      <c r="A23" s="127"/>
      <c r="B23" s="143"/>
      <c r="C23" s="143"/>
      <c r="D23" s="143"/>
      <c r="E23" s="143"/>
      <c r="F23" s="143"/>
      <c r="G23" s="143"/>
      <c r="H23" s="143"/>
      <c r="I23" s="143"/>
      <c r="J23" s="144"/>
    </row>
    <row r="24" spans="1:10" ht="15" customHeight="1">
      <c r="A24" s="127"/>
      <c r="B24" s="143"/>
      <c r="C24" s="143"/>
      <c r="D24" s="143"/>
      <c r="E24" s="143"/>
      <c r="F24" s="143"/>
      <c r="G24" s="143"/>
      <c r="H24" s="143"/>
      <c r="I24" s="143"/>
      <c r="J24" s="144"/>
    </row>
    <row r="25" spans="1:10" ht="15" customHeight="1">
      <c r="A25" s="127"/>
      <c r="B25" s="143"/>
      <c r="C25" s="143"/>
      <c r="D25" s="143"/>
      <c r="E25" s="143"/>
      <c r="F25" s="143"/>
      <c r="G25" s="143"/>
      <c r="H25" s="143"/>
      <c r="I25" s="143"/>
      <c r="J25" s="144"/>
    </row>
    <row r="26" spans="1:10" ht="15" customHeight="1">
      <c r="A26" s="127"/>
      <c r="B26" s="143"/>
      <c r="C26" s="143"/>
      <c r="D26" s="143"/>
      <c r="E26" s="143"/>
      <c r="F26" s="143"/>
      <c r="G26" s="143"/>
      <c r="H26" s="143"/>
      <c r="I26" s="143"/>
      <c r="J26" s="144"/>
    </row>
    <row r="27" spans="1:10" ht="15" customHeight="1">
      <c r="A27" s="127"/>
      <c r="B27" s="143"/>
      <c r="C27" s="143"/>
      <c r="D27" s="143"/>
      <c r="E27" s="143"/>
      <c r="F27" s="143"/>
      <c r="G27" s="143"/>
      <c r="H27" s="143"/>
      <c r="I27" s="143"/>
      <c r="J27" s="144"/>
    </row>
    <row r="28" spans="1:10" ht="15" customHeight="1">
      <c r="A28" s="127"/>
      <c r="B28" s="143"/>
      <c r="C28" s="143"/>
      <c r="D28" s="143"/>
      <c r="E28" s="143"/>
      <c r="F28" s="143"/>
      <c r="G28" s="143"/>
      <c r="H28" s="143"/>
      <c r="I28" s="143"/>
      <c r="J28" s="144"/>
    </row>
    <row r="29" spans="1:10" ht="15" customHeight="1">
      <c r="A29" s="127"/>
      <c r="B29" s="143"/>
      <c r="C29" s="143"/>
      <c r="D29" s="143"/>
      <c r="E29" s="143"/>
      <c r="F29" s="143"/>
      <c r="G29" s="143"/>
      <c r="H29" s="143"/>
      <c r="I29" s="143"/>
      <c r="J29" s="144"/>
    </row>
    <row r="30" spans="1:10" ht="15" customHeight="1">
      <c r="A30" s="145"/>
      <c r="B30" s="143"/>
      <c r="C30" s="143"/>
      <c r="D30" s="143"/>
      <c r="E30" s="143"/>
      <c r="F30" s="143"/>
      <c r="G30" s="143"/>
      <c r="H30" s="143"/>
      <c r="I30" s="143"/>
      <c r="J30" s="144"/>
    </row>
    <row r="31" spans="1:10" ht="15" customHeight="1">
      <c r="A31" s="127"/>
      <c r="B31" s="143"/>
      <c r="C31" s="143"/>
      <c r="D31" s="143"/>
      <c r="E31" s="143"/>
      <c r="F31" s="143"/>
      <c r="G31" s="143"/>
      <c r="H31" s="143"/>
      <c r="I31" s="143"/>
      <c r="J31" s="144"/>
    </row>
    <row r="32" spans="1:10" ht="15" customHeight="1">
      <c r="A32" s="146"/>
      <c r="B32" s="147"/>
      <c r="C32" s="147"/>
      <c r="D32" s="147"/>
      <c r="E32" s="147"/>
      <c r="F32" s="147"/>
      <c r="G32" s="147"/>
      <c r="H32" s="147"/>
      <c r="I32" s="147"/>
      <c r="J32" s="148"/>
    </row>
    <row r="34" spans="3:10" ht="15" customHeight="1">
      <c r="F34" s="134"/>
      <c r="G34" s="152" t="s">
        <v>2449</v>
      </c>
      <c r="H34" s="152"/>
      <c r="I34" s="152"/>
      <c r="J34" s="155">
        <v>20000</v>
      </c>
    </row>
    <row r="35" spans="3:10" ht="15" customHeight="1">
      <c r="F35" s="134"/>
      <c r="G35" s="132" t="s">
        <v>2463</v>
      </c>
      <c r="J35" s="139">
        <v>5000</v>
      </c>
    </row>
    <row r="36" spans="3:10" ht="15" customHeight="1">
      <c r="F36" s="134"/>
      <c r="G36" s="132" t="s">
        <v>2450</v>
      </c>
      <c r="J36" s="140">
        <v>15000</v>
      </c>
    </row>
    <row r="38" spans="3:10" ht="15" customHeight="1">
      <c r="E38" s="1" t="s">
        <v>2451</v>
      </c>
      <c r="F38" s="1" t="s">
        <v>2452</v>
      </c>
      <c r="G38" s="132" t="s">
        <v>2453</v>
      </c>
      <c r="J38" s="1" t="s">
        <v>2454</v>
      </c>
    </row>
    <row r="39" spans="3:10" ht="15" customHeight="1">
      <c r="C39" s="132" t="s">
        <v>2461</v>
      </c>
      <c r="E39" s="150"/>
      <c r="F39" s="150"/>
      <c r="G39" s="138"/>
      <c r="H39" s="141"/>
      <c r="J39" s="139"/>
    </row>
    <row r="40" spans="3:10" ht="15" customHeight="1">
      <c r="C40" s="132" t="s">
        <v>2461</v>
      </c>
      <c r="E40" s="150"/>
      <c r="F40" s="150"/>
      <c r="G40" s="138"/>
      <c r="H40" s="141"/>
      <c r="J40" s="139"/>
    </row>
    <row r="41" spans="3:10" ht="15" customHeight="1">
      <c r="C41" s="132" t="s">
        <v>2461</v>
      </c>
      <c r="E41" s="150"/>
      <c r="F41" s="150"/>
      <c r="G41" s="138"/>
      <c r="H41" s="141"/>
      <c r="J41" s="139"/>
    </row>
    <row r="42" spans="3:10" ht="15" customHeight="1">
      <c r="C42" s="132" t="s">
        <v>2461</v>
      </c>
      <c r="E42" s="150"/>
      <c r="F42" s="150"/>
      <c r="G42" s="138"/>
      <c r="H42" s="141"/>
      <c r="J42" s="139"/>
    </row>
    <row r="43" spans="3:10" ht="15" customHeight="1">
      <c r="C43" s="132" t="s">
        <v>2461</v>
      </c>
      <c r="E43" s="150"/>
      <c r="F43" s="150"/>
      <c r="G43" s="138"/>
      <c r="H43" s="141"/>
      <c r="J43" s="139"/>
    </row>
    <row r="44" spans="3:10" ht="15" customHeight="1">
      <c r="C44" s="132" t="s">
        <v>2461</v>
      </c>
      <c r="E44" s="150"/>
      <c r="F44" s="150"/>
      <c r="G44" s="138"/>
      <c r="H44" s="141"/>
      <c r="J44" s="139"/>
    </row>
    <row r="45" spans="3:10" ht="15" customHeight="1">
      <c r="C45" s="132" t="s">
        <v>2461</v>
      </c>
      <c r="E45" s="150"/>
      <c r="F45" s="150"/>
      <c r="G45" s="138"/>
      <c r="H45" s="141"/>
      <c r="J45" s="139"/>
    </row>
    <row r="46" spans="3:10" ht="15" customHeight="1">
      <c r="C46" s="132" t="s">
        <v>2461</v>
      </c>
      <c r="E46" s="150"/>
      <c r="F46" s="150"/>
      <c r="G46" s="138"/>
      <c r="H46" s="141"/>
      <c r="J46" s="139"/>
    </row>
    <row r="47" spans="3:10" ht="15" customHeight="1">
      <c r="C47" s="132" t="s">
        <v>2461</v>
      </c>
      <c r="E47" s="150"/>
      <c r="F47" s="150"/>
      <c r="G47" s="138"/>
      <c r="H47" s="141"/>
      <c r="J47" s="139"/>
    </row>
    <row r="48" spans="3:10" ht="15" customHeight="1">
      <c r="C48" s="132" t="s">
        <v>2461</v>
      </c>
      <c r="E48" s="150"/>
      <c r="F48" s="150"/>
      <c r="G48" s="138"/>
      <c r="H48" s="141"/>
      <c r="J48" s="139"/>
    </row>
    <row r="49" spans="1:10" ht="15" customHeight="1">
      <c r="C49" s="132" t="s">
        <v>2461</v>
      </c>
      <c r="E49" s="150"/>
      <c r="F49" s="150"/>
      <c r="G49" s="138">
        <v>5565</v>
      </c>
      <c r="H49" s="141"/>
      <c r="J49" s="139">
        <v>20000</v>
      </c>
    </row>
    <row r="50" spans="1:10" ht="15" customHeight="1">
      <c r="C50" s="132" t="s">
        <v>2461</v>
      </c>
      <c r="E50" s="150"/>
      <c r="F50" s="150"/>
      <c r="G50" s="138" t="s">
        <v>2455</v>
      </c>
      <c r="H50" s="141"/>
      <c r="I50" s="131" t="s">
        <v>2462</v>
      </c>
      <c r="J50" s="139">
        <v>-15000</v>
      </c>
    </row>
    <row r="51" spans="1:10" ht="15" customHeight="1">
      <c r="E51" s="154"/>
      <c r="F51" s="154"/>
      <c r="G51" s="154"/>
      <c r="H51" s="154"/>
      <c r="I51" s="154"/>
      <c r="J51" s="154"/>
    </row>
    <row r="52" spans="1:10" ht="15" customHeight="1">
      <c r="F52" s="134"/>
      <c r="G52" s="152" t="s">
        <v>2466</v>
      </c>
      <c r="H52" s="152"/>
      <c r="I52" s="152"/>
      <c r="J52" s="153">
        <f>SUM(J39:J50)</f>
        <v>5000</v>
      </c>
    </row>
    <row r="53" spans="1:10" ht="15" customHeight="1">
      <c r="F53" s="134"/>
      <c r="G53" s="152"/>
      <c r="H53" s="152"/>
      <c r="I53" s="152"/>
      <c r="J53" s="157"/>
    </row>
    <row r="54" spans="1:10" ht="15" customHeight="1">
      <c r="F54" s="134"/>
      <c r="G54" s="142" t="s">
        <v>2458</v>
      </c>
      <c r="H54" s="142"/>
      <c r="I54" s="142"/>
      <c r="J54" s="156">
        <f>+J52-J34+J36</f>
        <v>0</v>
      </c>
    </row>
    <row r="56" spans="1:10" ht="15" customHeight="1">
      <c r="F56" s="1"/>
    </row>
    <row r="57" spans="1:10" ht="15" customHeight="1">
      <c r="F57" s="1"/>
    </row>
    <row r="58" spans="1:10" ht="15" customHeight="1">
      <c r="A58" s="134"/>
    </row>
    <row r="59" spans="1:10" ht="15" customHeight="1">
      <c r="A59" s="134"/>
    </row>
    <row r="60" spans="1:10" ht="15" customHeight="1">
      <c r="A60" s="133"/>
    </row>
    <row r="61" spans="1:10" ht="15" customHeight="1">
      <c r="A61" s="133"/>
    </row>
    <row r="62" spans="1:10" ht="15" customHeight="1">
      <c r="F62" s="151" t="s">
        <v>2580</v>
      </c>
    </row>
    <row r="63" spans="1:10" ht="15" customHeight="1">
      <c r="A63" s="133"/>
    </row>
    <row r="64" spans="1:10" ht="15" customHeight="1">
      <c r="A64" s="133"/>
      <c r="F64" s="151" t="s">
        <v>2447</v>
      </c>
    </row>
    <row r="65" spans="1:10" ht="15" customHeight="1">
      <c r="A65" s="133"/>
    </row>
    <row r="66" spans="1:10" ht="15" customHeight="1">
      <c r="A66" s="142"/>
      <c r="B66" s="142"/>
      <c r="C66" s="142"/>
      <c r="D66" s="142"/>
      <c r="E66" s="142"/>
      <c r="F66" s="142"/>
      <c r="G66" s="142"/>
      <c r="J66" s="142"/>
    </row>
    <row r="68" spans="1:10" ht="15" customHeight="1">
      <c r="A68" s="132" t="s">
        <v>2448</v>
      </c>
      <c r="C68" s="135" t="s">
        <v>2666</v>
      </c>
      <c r="D68" s="136"/>
      <c r="E68" s="137"/>
      <c r="G68" s="149" t="s">
        <v>2465</v>
      </c>
      <c r="H68" s="135" t="s">
        <v>2705</v>
      </c>
      <c r="I68" s="136"/>
      <c r="J68" s="137"/>
    </row>
    <row r="70" spans="1:10" ht="15" customHeight="1">
      <c r="A70" s="134" t="s">
        <v>2456</v>
      </c>
      <c r="C70" s="135" t="s">
        <v>2668</v>
      </c>
      <c r="D70" s="136"/>
      <c r="E70" s="136"/>
      <c r="F70" s="137"/>
      <c r="I70" s="149" t="s">
        <v>2464</v>
      </c>
      <c r="J70" s="150">
        <v>1</v>
      </c>
    </row>
    <row r="71" spans="1:10" ht="15" customHeight="1">
      <c r="D71" s="134"/>
    </row>
    <row r="72" spans="1:10" ht="15" customHeight="1">
      <c r="A72" s="132" t="s">
        <v>2459</v>
      </c>
      <c r="D72" s="135" t="s">
        <v>2706</v>
      </c>
      <c r="E72" s="136"/>
      <c r="F72" s="136"/>
      <c r="G72" s="136"/>
      <c r="H72" s="136"/>
      <c r="I72" s="136"/>
      <c r="J72" s="137"/>
    </row>
    <row r="74" spans="1:10" ht="15" customHeight="1">
      <c r="A74" s="134" t="s">
        <v>2460</v>
      </c>
    </row>
    <row r="75" spans="1:10" ht="15" customHeight="1">
      <c r="A75" s="134"/>
    </row>
    <row r="76" spans="1:10" ht="15" customHeight="1">
      <c r="A76" s="130" t="s">
        <v>2707</v>
      </c>
      <c r="B76" s="129"/>
      <c r="C76" s="129"/>
      <c r="D76" s="129"/>
      <c r="E76" s="129"/>
      <c r="F76" s="129"/>
      <c r="G76" s="129"/>
      <c r="H76" s="129"/>
      <c r="I76" s="129"/>
      <c r="J76" s="128"/>
    </row>
    <row r="77" spans="1:10" ht="15" customHeight="1">
      <c r="A77" s="127"/>
      <c r="B77" s="143"/>
      <c r="C77" s="143"/>
      <c r="D77" s="143"/>
      <c r="E77" s="143"/>
      <c r="F77" s="143"/>
      <c r="G77" s="143"/>
      <c r="H77" s="143"/>
      <c r="I77" s="143"/>
      <c r="J77" s="144"/>
    </row>
    <row r="78" spans="1:10" ht="15" customHeight="1">
      <c r="A78" s="127"/>
      <c r="B78" s="143"/>
      <c r="C78" s="143"/>
      <c r="D78" s="143"/>
      <c r="E78" s="143"/>
      <c r="F78" s="143"/>
      <c r="G78" s="143"/>
      <c r="H78" s="143"/>
      <c r="I78" s="143"/>
      <c r="J78" s="144"/>
    </row>
    <row r="79" spans="1:10" ht="15" customHeight="1">
      <c r="A79" s="127"/>
      <c r="B79" s="143"/>
      <c r="C79" s="143"/>
      <c r="D79" s="143"/>
      <c r="E79" s="143"/>
      <c r="F79" s="143"/>
      <c r="G79" s="143"/>
      <c r="H79" s="143"/>
      <c r="I79" s="143"/>
      <c r="J79" s="144"/>
    </row>
    <row r="80" spans="1:10" ht="15" customHeight="1">
      <c r="A80" s="127"/>
      <c r="B80" s="143"/>
      <c r="C80" s="143"/>
      <c r="D80" s="143"/>
      <c r="E80" s="143"/>
      <c r="F80" s="143"/>
      <c r="G80" s="143"/>
      <c r="H80" s="143"/>
      <c r="I80" s="143"/>
      <c r="J80" s="144"/>
    </row>
    <row r="81" spans="1:10" ht="15" customHeight="1">
      <c r="A81" s="127"/>
      <c r="B81" s="143"/>
      <c r="C81" s="143"/>
      <c r="D81" s="143"/>
      <c r="E81" s="143"/>
      <c r="F81" s="143"/>
      <c r="G81" s="143"/>
      <c r="H81" s="143"/>
      <c r="I81" s="143"/>
      <c r="J81" s="144"/>
    </row>
    <row r="82" spans="1:10" ht="15" customHeight="1">
      <c r="A82" s="127"/>
      <c r="B82" s="143"/>
      <c r="C82" s="143"/>
      <c r="D82" s="143"/>
      <c r="E82" s="143"/>
      <c r="F82" s="143"/>
      <c r="G82" s="143"/>
      <c r="H82" s="143"/>
      <c r="I82" s="143"/>
      <c r="J82" s="144"/>
    </row>
    <row r="83" spans="1:10" ht="15" customHeight="1">
      <c r="A83" s="127"/>
      <c r="B83" s="143"/>
      <c r="C83" s="143"/>
      <c r="D83" s="143"/>
      <c r="E83" s="143"/>
      <c r="F83" s="143"/>
      <c r="G83" s="143"/>
      <c r="H83" s="143"/>
      <c r="I83" s="143"/>
      <c r="J83" s="144"/>
    </row>
    <row r="84" spans="1:10" ht="15" customHeight="1">
      <c r="A84" s="145"/>
      <c r="B84" s="143"/>
      <c r="C84" s="143"/>
      <c r="D84" s="143"/>
      <c r="E84" s="143"/>
      <c r="F84" s="143"/>
      <c r="G84" s="143"/>
      <c r="H84" s="143"/>
      <c r="I84" s="143"/>
      <c r="J84" s="144"/>
    </row>
    <row r="85" spans="1:10" ht="15" customHeight="1">
      <c r="A85" s="127"/>
      <c r="B85" s="143"/>
      <c r="C85" s="143"/>
      <c r="D85" s="143"/>
      <c r="E85" s="143"/>
      <c r="F85" s="143"/>
      <c r="G85" s="143"/>
      <c r="H85" s="143"/>
      <c r="I85" s="143"/>
      <c r="J85" s="144"/>
    </row>
    <row r="86" spans="1:10" ht="15" customHeight="1">
      <c r="A86" s="146"/>
      <c r="B86" s="147"/>
      <c r="C86" s="147"/>
      <c r="D86" s="147"/>
      <c r="E86" s="147"/>
      <c r="F86" s="147"/>
      <c r="G86" s="147"/>
      <c r="H86" s="147"/>
      <c r="I86" s="147"/>
      <c r="J86" s="148"/>
    </row>
    <row r="88" spans="1:10" ht="15" customHeight="1">
      <c r="F88" s="134"/>
      <c r="G88" s="152" t="s">
        <v>2449</v>
      </c>
      <c r="H88" s="152"/>
      <c r="I88" s="152"/>
      <c r="J88" s="155">
        <v>200</v>
      </c>
    </row>
    <row r="89" spans="1:10" ht="15" customHeight="1">
      <c r="F89" s="134"/>
      <c r="G89" s="132" t="s">
        <v>2463</v>
      </c>
      <c r="J89" s="139"/>
    </row>
    <row r="90" spans="1:10" ht="15" customHeight="1">
      <c r="F90" s="134"/>
      <c r="G90" s="132" t="s">
        <v>2450</v>
      </c>
      <c r="J90" s="140"/>
    </row>
    <row r="92" spans="1:10" ht="15" customHeight="1">
      <c r="E92" s="1" t="s">
        <v>2451</v>
      </c>
      <c r="F92" s="1" t="s">
        <v>2452</v>
      </c>
      <c r="G92" s="132" t="s">
        <v>2453</v>
      </c>
      <c r="J92" s="1" t="s">
        <v>2454</v>
      </c>
    </row>
    <row r="93" spans="1:10" ht="15" customHeight="1">
      <c r="C93" s="132" t="s">
        <v>2461</v>
      </c>
      <c r="E93" s="150"/>
      <c r="F93" s="150"/>
      <c r="G93" s="138"/>
      <c r="H93" s="141"/>
      <c r="J93" s="139"/>
    </row>
    <row r="94" spans="1:10" ht="15" customHeight="1">
      <c r="C94" s="132" t="s">
        <v>2461</v>
      </c>
      <c r="E94" s="150"/>
      <c r="F94" s="150"/>
      <c r="G94" s="138"/>
      <c r="H94" s="141"/>
      <c r="J94" s="139"/>
    </row>
    <row r="95" spans="1:10" ht="15" customHeight="1">
      <c r="C95" s="132" t="s">
        <v>2461</v>
      </c>
      <c r="E95" s="150"/>
      <c r="F95" s="150"/>
      <c r="G95" s="138"/>
      <c r="H95" s="141"/>
      <c r="J95" s="139"/>
    </row>
    <row r="96" spans="1:10" ht="15" customHeight="1">
      <c r="C96" s="132" t="s">
        <v>2461</v>
      </c>
      <c r="E96" s="150"/>
      <c r="F96" s="150"/>
      <c r="G96" s="138"/>
      <c r="H96" s="141"/>
      <c r="J96" s="139"/>
    </row>
    <row r="97" spans="3:10" ht="15" customHeight="1">
      <c r="C97" s="132" t="s">
        <v>2461</v>
      </c>
      <c r="E97" s="150"/>
      <c r="F97" s="150"/>
      <c r="G97" s="138"/>
      <c r="H97" s="141"/>
      <c r="J97" s="139"/>
    </row>
    <row r="98" spans="3:10" ht="15" customHeight="1">
      <c r="C98" s="132" t="s">
        <v>2461</v>
      </c>
      <c r="E98" s="150"/>
      <c r="F98" s="150"/>
      <c r="G98" s="138"/>
      <c r="H98" s="141"/>
      <c r="J98" s="139"/>
    </row>
    <row r="99" spans="3:10" ht="15" customHeight="1">
      <c r="C99" s="132" t="s">
        <v>2461</v>
      </c>
      <c r="E99" s="150"/>
      <c r="F99" s="150"/>
      <c r="G99" s="138"/>
      <c r="H99" s="141"/>
      <c r="J99" s="139"/>
    </row>
    <row r="100" spans="3:10" ht="15" customHeight="1">
      <c r="C100" s="132" t="s">
        <v>2461</v>
      </c>
      <c r="E100" s="150"/>
      <c r="F100" s="150"/>
      <c r="G100" s="138"/>
      <c r="H100" s="141"/>
      <c r="J100" s="139"/>
    </row>
    <row r="101" spans="3:10" ht="15" customHeight="1">
      <c r="C101" s="132" t="s">
        <v>2461</v>
      </c>
      <c r="E101" s="150"/>
      <c r="F101" s="150"/>
      <c r="G101" s="138"/>
      <c r="H101" s="141"/>
      <c r="J101" s="139"/>
    </row>
    <row r="102" spans="3:10" ht="15" customHeight="1">
      <c r="C102" s="132" t="s">
        <v>2461</v>
      </c>
      <c r="E102" s="150"/>
      <c r="F102" s="150"/>
      <c r="G102" s="138"/>
      <c r="H102" s="141"/>
      <c r="J102" s="139"/>
    </row>
    <row r="103" spans="3:10" ht="15" customHeight="1">
      <c r="C103" s="132" t="s">
        <v>2461</v>
      </c>
      <c r="E103" s="150"/>
      <c r="F103" s="150"/>
      <c r="G103" s="138">
        <v>5315</v>
      </c>
      <c r="H103" s="141"/>
      <c r="J103" s="139"/>
    </row>
    <row r="104" spans="3:10" ht="15" customHeight="1">
      <c r="C104" s="132" t="s">
        <v>2461</v>
      </c>
      <c r="E104" s="150"/>
      <c r="F104" s="150"/>
      <c r="G104" s="138"/>
      <c r="H104" s="141"/>
      <c r="I104" s="131" t="s">
        <v>2462</v>
      </c>
      <c r="J104" s="139"/>
    </row>
    <row r="105" spans="3:10" ht="15" customHeight="1">
      <c r="E105" s="154"/>
      <c r="F105" s="154"/>
      <c r="G105" s="154"/>
      <c r="H105" s="154"/>
      <c r="I105" s="154"/>
      <c r="J105" s="154"/>
    </row>
    <row r="106" spans="3:10" ht="15" customHeight="1">
      <c r="F106" s="134"/>
      <c r="G106" s="152" t="s">
        <v>2466</v>
      </c>
      <c r="H106" s="152"/>
      <c r="I106" s="152"/>
      <c r="J106" s="153">
        <v>200</v>
      </c>
    </row>
    <row r="107" spans="3:10" ht="15" customHeight="1">
      <c r="F107" s="134"/>
      <c r="G107" s="152"/>
      <c r="H107" s="152"/>
      <c r="I107" s="152"/>
      <c r="J107" s="157"/>
    </row>
    <row r="108" spans="3:10" ht="15" customHeight="1">
      <c r="F108" s="134"/>
      <c r="G108" s="142" t="s">
        <v>2458</v>
      </c>
      <c r="H108" s="142"/>
      <c r="I108" s="142"/>
      <c r="J108" s="156">
        <f>+J106-J88+J90</f>
        <v>0</v>
      </c>
    </row>
    <row r="112" spans="3:10" ht="15" customHeight="1">
      <c r="F112" s="1"/>
    </row>
    <row r="113" spans="1:10" ht="15" customHeight="1">
      <c r="F113" s="1"/>
    </row>
    <row r="114" spans="1:10" ht="15" customHeight="1">
      <c r="A114" s="134"/>
    </row>
    <row r="115" spans="1:10" ht="15" customHeight="1">
      <c r="A115" s="134"/>
    </row>
    <row r="116" spans="1:10" ht="15" customHeight="1">
      <c r="A116" s="133"/>
    </row>
    <row r="117" spans="1:10" ht="15" customHeight="1">
      <c r="A117" s="133"/>
    </row>
    <row r="118" spans="1:10" ht="15" customHeight="1">
      <c r="F118" s="151" t="s">
        <v>2580</v>
      </c>
    </row>
    <row r="119" spans="1:10" ht="15" customHeight="1">
      <c r="A119" s="133"/>
    </row>
    <row r="120" spans="1:10" ht="15" customHeight="1">
      <c r="A120" s="133"/>
      <c r="F120" s="151" t="s">
        <v>2447</v>
      </c>
    </row>
    <row r="121" spans="1:10" ht="15" customHeight="1">
      <c r="A121" s="133"/>
    </row>
    <row r="122" spans="1:10" ht="15" customHeight="1">
      <c r="A122" s="142"/>
      <c r="B122" s="142"/>
      <c r="C122" s="142"/>
      <c r="D122" s="142"/>
      <c r="E122" s="142"/>
      <c r="F122" s="142"/>
      <c r="G122" s="142"/>
      <c r="J122" s="142"/>
    </row>
    <row r="124" spans="1:10" ht="15" customHeight="1">
      <c r="A124" s="132" t="s">
        <v>2448</v>
      </c>
      <c r="C124" s="135" t="s">
        <v>2666</v>
      </c>
      <c r="D124" s="136"/>
      <c r="E124" s="137"/>
      <c r="G124" s="149" t="s">
        <v>2465</v>
      </c>
      <c r="H124" s="135" t="s">
        <v>2705</v>
      </c>
      <c r="I124" s="136"/>
      <c r="J124" s="137"/>
    </row>
    <row r="126" spans="1:10" ht="15" customHeight="1">
      <c r="A126" s="134" t="s">
        <v>2456</v>
      </c>
      <c r="C126" s="135" t="s">
        <v>2708</v>
      </c>
      <c r="D126" s="136"/>
      <c r="E126" s="136"/>
      <c r="F126" s="137"/>
      <c r="I126" s="149" t="s">
        <v>2464</v>
      </c>
      <c r="J126" s="150">
        <v>1</v>
      </c>
    </row>
    <row r="127" spans="1:10" ht="15" customHeight="1">
      <c r="D127" s="134"/>
    </row>
    <row r="128" spans="1:10" ht="15" customHeight="1">
      <c r="A128" s="132" t="s">
        <v>2459</v>
      </c>
      <c r="D128" s="135" t="s">
        <v>2709</v>
      </c>
      <c r="E128" s="136"/>
      <c r="F128" s="136"/>
      <c r="G128" s="136"/>
      <c r="H128" s="136"/>
      <c r="I128" s="136"/>
      <c r="J128" s="137"/>
    </row>
    <row r="130" spans="1:10" ht="15" customHeight="1">
      <c r="A130" s="134" t="s">
        <v>2460</v>
      </c>
    </row>
    <row r="131" spans="1:10" ht="15" customHeight="1">
      <c r="A131" s="134"/>
    </row>
    <row r="132" spans="1:10" ht="15" customHeight="1">
      <c r="A132" s="130" t="s">
        <v>2710</v>
      </c>
      <c r="B132" s="129"/>
      <c r="C132" s="129"/>
      <c r="D132" s="129"/>
      <c r="E132" s="129"/>
      <c r="F132" s="129"/>
      <c r="G132" s="129"/>
      <c r="H132" s="129"/>
      <c r="I132" s="129"/>
      <c r="J132" s="128"/>
    </row>
    <row r="133" spans="1:10" ht="15" customHeight="1">
      <c r="A133" s="127"/>
      <c r="B133" s="143"/>
      <c r="C133" s="143"/>
      <c r="D133" s="143"/>
      <c r="E133" s="143"/>
      <c r="F133" s="143"/>
      <c r="G133" s="143"/>
      <c r="H133" s="143"/>
      <c r="I133" s="143"/>
      <c r="J133" s="144"/>
    </row>
    <row r="134" spans="1:10" ht="15" customHeight="1">
      <c r="A134" s="127"/>
      <c r="B134" s="143"/>
      <c r="C134" s="143"/>
      <c r="D134" s="143"/>
      <c r="E134" s="143"/>
      <c r="F134" s="143"/>
      <c r="G134" s="143"/>
      <c r="H134" s="143"/>
      <c r="I134" s="143"/>
      <c r="J134" s="144"/>
    </row>
    <row r="135" spans="1:10" ht="15" customHeight="1">
      <c r="A135" s="127"/>
      <c r="B135" s="143"/>
      <c r="C135" s="143"/>
      <c r="D135" s="143"/>
      <c r="E135" s="143"/>
      <c r="F135" s="143"/>
      <c r="G135" s="143"/>
      <c r="H135" s="143"/>
      <c r="I135" s="143"/>
      <c r="J135" s="144"/>
    </row>
    <row r="136" spans="1:10" ht="15" customHeight="1">
      <c r="A136" s="127"/>
      <c r="B136" s="143"/>
      <c r="C136" s="143"/>
      <c r="D136" s="143"/>
      <c r="E136" s="143"/>
      <c r="F136" s="143"/>
      <c r="G136" s="143"/>
      <c r="H136" s="143"/>
      <c r="I136" s="143"/>
      <c r="J136" s="144"/>
    </row>
    <row r="137" spans="1:10" ht="15" customHeight="1">
      <c r="A137" s="127"/>
      <c r="B137" s="143"/>
      <c r="C137" s="143"/>
      <c r="D137" s="143"/>
      <c r="E137" s="143"/>
      <c r="F137" s="143"/>
      <c r="G137" s="143"/>
      <c r="H137" s="143"/>
      <c r="I137" s="143"/>
      <c r="J137" s="144"/>
    </row>
    <row r="138" spans="1:10" ht="15" customHeight="1">
      <c r="A138" s="127"/>
      <c r="B138" s="143"/>
      <c r="C138" s="143"/>
      <c r="D138" s="143"/>
      <c r="E138" s="143"/>
      <c r="F138" s="143"/>
      <c r="G138" s="143"/>
      <c r="H138" s="143"/>
      <c r="I138" s="143"/>
      <c r="J138" s="144"/>
    </row>
    <row r="139" spans="1:10" ht="15" customHeight="1">
      <c r="A139" s="127"/>
      <c r="B139" s="143"/>
      <c r="C139" s="143"/>
      <c r="D139" s="143"/>
      <c r="E139" s="143"/>
      <c r="F139" s="143"/>
      <c r="G139" s="143"/>
      <c r="H139" s="143"/>
      <c r="I139" s="143"/>
      <c r="J139" s="144"/>
    </row>
    <row r="140" spans="1:10" ht="15" customHeight="1">
      <c r="A140" s="145"/>
      <c r="B140" s="143"/>
      <c r="C140" s="143"/>
      <c r="D140" s="143"/>
      <c r="E140" s="143"/>
      <c r="F140" s="143"/>
      <c r="G140" s="143"/>
      <c r="H140" s="143"/>
      <c r="I140" s="143"/>
      <c r="J140" s="144"/>
    </row>
    <row r="141" spans="1:10" ht="15" customHeight="1">
      <c r="A141" s="127"/>
      <c r="B141" s="143"/>
      <c r="C141" s="143"/>
      <c r="D141" s="143"/>
      <c r="E141" s="143"/>
      <c r="F141" s="143"/>
      <c r="G141" s="143"/>
      <c r="H141" s="143"/>
      <c r="I141" s="143"/>
      <c r="J141" s="144"/>
    </row>
    <row r="142" spans="1:10" ht="15" customHeight="1">
      <c r="A142" s="146"/>
      <c r="B142" s="147"/>
      <c r="C142" s="147"/>
      <c r="D142" s="147"/>
      <c r="E142" s="147"/>
      <c r="F142" s="147"/>
      <c r="G142" s="147"/>
      <c r="H142" s="147"/>
      <c r="I142" s="147"/>
      <c r="J142" s="148"/>
    </row>
    <row r="144" spans="1:10" ht="15" customHeight="1">
      <c r="F144" s="134"/>
      <c r="G144" s="152" t="s">
        <v>2449</v>
      </c>
      <c r="H144" s="152"/>
      <c r="I144" s="152"/>
      <c r="J144" s="155">
        <v>500</v>
      </c>
    </row>
    <row r="145" spans="3:10" ht="15" customHeight="1">
      <c r="F145" s="134"/>
      <c r="G145" s="132" t="s">
        <v>2463</v>
      </c>
      <c r="J145" s="139">
        <v>0</v>
      </c>
    </row>
    <row r="146" spans="3:10" ht="15" customHeight="1">
      <c r="F146" s="134"/>
      <c r="G146" s="132" t="s">
        <v>2450</v>
      </c>
      <c r="J146" s="140">
        <v>0</v>
      </c>
    </row>
    <row r="148" spans="3:10" ht="15" customHeight="1">
      <c r="E148" s="1" t="s">
        <v>2451</v>
      </c>
      <c r="F148" s="1" t="s">
        <v>2452</v>
      </c>
      <c r="G148" s="132" t="s">
        <v>2453</v>
      </c>
      <c r="J148" s="1" t="s">
        <v>2454</v>
      </c>
    </row>
    <row r="149" spans="3:10" ht="15" customHeight="1">
      <c r="C149" s="132" t="s">
        <v>2461</v>
      </c>
      <c r="E149" s="150"/>
      <c r="F149" s="150"/>
      <c r="G149" s="138"/>
      <c r="H149" s="141"/>
      <c r="J149" s="139"/>
    </row>
    <row r="150" spans="3:10" ht="15" customHeight="1">
      <c r="C150" s="132" t="s">
        <v>2461</v>
      </c>
      <c r="E150" s="150"/>
      <c r="F150" s="150"/>
      <c r="G150" s="138"/>
      <c r="H150" s="141"/>
      <c r="J150" s="139"/>
    </row>
    <row r="151" spans="3:10" ht="15" customHeight="1">
      <c r="C151" s="132" t="s">
        <v>2461</v>
      </c>
      <c r="E151" s="150"/>
      <c r="F151" s="150"/>
      <c r="G151" s="138"/>
      <c r="H151" s="141"/>
      <c r="J151" s="139"/>
    </row>
    <row r="152" spans="3:10" ht="15" customHeight="1">
      <c r="C152" s="132" t="s">
        <v>2461</v>
      </c>
      <c r="E152" s="150"/>
      <c r="F152" s="150"/>
      <c r="G152" s="138"/>
      <c r="H152" s="141"/>
      <c r="J152" s="139"/>
    </row>
    <row r="153" spans="3:10" ht="15" customHeight="1">
      <c r="C153" s="132" t="s">
        <v>2461</v>
      </c>
      <c r="E153" s="150"/>
      <c r="F153" s="150"/>
      <c r="G153" s="138"/>
      <c r="H153" s="141"/>
      <c r="J153" s="139"/>
    </row>
    <row r="154" spans="3:10" ht="15" customHeight="1">
      <c r="C154" s="132" t="s">
        <v>2461</v>
      </c>
      <c r="E154" s="150"/>
      <c r="F154" s="150"/>
      <c r="G154" s="138"/>
      <c r="H154" s="141"/>
      <c r="J154" s="139"/>
    </row>
    <row r="155" spans="3:10" ht="15" customHeight="1">
      <c r="C155" s="132" t="s">
        <v>2461</v>
      </c>
      <c r="E155" s="150"/>
      <c r="F155" s="150"/>
      <c r="G155" s="138"/>
      <c r="H155" s="141"/>
      <c r="J155" s="139"/>
    </row>
    <row r="156" spans="3:10" ht="15" customHeight="1">
      <c r="C156" s="132" t="s">
        <v>2461</v>
      </c>
      <c r="E156" s="150"/>
      <c r="F156" s="150"/>
      <c r="G156" s="138"/>
      <c r="H156" s="141"/>
      <c r="J156" s="139"/>
    </row>
    <row r="157" spans="3:10" ht="15" customHeight="1">
      <c r="C157" s="132" t="s">
        <v>2461</v>
      </c>
      <c r="E157" s="150"/>
      <c r="F157" s="150"/>
      <c r="G157" s="138"/>
      <c r="H157" s="141"/>
      <c r="J157" s="139"/>
    </row>
    <row r="158" spans="3:10" ht="15" customHeight="1">
      <c r="C158" s="132" t="s">
        <v>2461</v>
      </c>
      <c r="E158" s="150"/>
      <c r="F158" s="150"/>
      <c r="G158" s="138"/>
      <c r="H158" s="141"/>
      <c r="J158" s="139"/>
    </row>
    <row r="159" spans="3:10" ht="15" customHeight="1">
      <c r="C159" s="132" t="s">
        <v>2461</v>
      </c>
      <c r="E159" s="150"/>
      <c r="F159" s="150"/>
      <c r="G159" s="138">
        <v>5230</v>
      </c>
      <c r="H159" s="141"/>
      <c r="J159" s="139">
        <v>500</v>
      </c>
    </row>
    <row r="160" spans="3:10" ht="15" customHeight="1">
      <c r="C160" s="132" t="s">
        <v>2461</v>
      </c>
      <c r="E160" s="150"/>
      <c r="F160" s="150"/>
      <c r="G160" s="138"/>
      <c r="H160" s="141"/>
      <c r="I160" s="131" t="s">
        <v>2462</v>
      </c>
      <c r="J160" s="139"/>
    </row>
    <row r="161" spans="1:10" ht="15" customHeight="1">
      <c r="E161" s="154"/>
      <c r="F161" s="154"/>
      <c r="G161" s="154"/>
      <c r="H161" s="154"/>
      <c r="I161" s="154"/>
      <c r="J161" s="154"/>
    </row>
    <row r="162" spans="1:10" ht="15" customHeight="1">
      <c r="F162" s="134"/>
      <c r="G162" s="152" t="s">
        <v>2466</v>
      </c>
      <c r="H162" s="152"/>
      <c r="I162" s="152"/>
      <c r="J162" s="153">
        <f>SUM(J149:J160)</f>
        <v>500</v>
      </c>
    </row>
    <row r="163" spans="1:10" ht="15" customHeight="1">
      <c r="F163" s="134"/>
      <c r="G163" s="152"/>
      <c r="H163" s="152"/>
      <c r="I163" s="152"/>
      <c r="J163" s="157"/>
    </row>
    <row r="164" spans="1:10" ht="15" customHeight="1">
      <c r="F164" s="134"/>
      <c r="G164" s="142" t="s">
        <v>2458</v>
      </c>
      <c r="H164" s="142"/>
      <c r="I164" s="142"/>
      <c r="J164" s="156">
        <f>+J162-J144+J146</f>
        <v>0</v>
      </c>
    </row>
    <row r="168" spans="1:10" ht="15" customHeight="1">
      <c r="F168" s="1"/>
    </row>
    <row r="169" spans="1:10" ht="15" customHeight="1">
      <c r="F169" s="1"/>
    </row>
    <row r="170" spans="1:10" ht="15" customHeight="1">
      <c r="A170" s="134"/>
    </row>
    <row r="171" spans="1:10" ht="15" customHeight="1">
      <c r="A171" s="134"/>
    </row>
    <row r="172" spans="1:10" ht="15" customHeight="1">
      <c r="A172" s="133"/>
    </row>
    <row r="173" spans="1:10" ht="15" customHeight="1">
      <c r="A173" s="133"/>
    </row>
    <row r="174" spans="1:10" ht="15" customHeight="1">
      <c r="F174" s="151" t="s">
        <v>2580</v>
      </c>
    </row>
    <row r="175" spans="1:10" ht="15" customHeight="1">
      <c r="A175" s="133"/>
    </row>
    <row r="176" spans="1:10" ht="15" customHeight="1">
      <c r="A176" s="133"/>
      <c r="F176" s="151" t="s">
        <v>2447</v>
      </c>
    </row>
    <row r="177" spans="1:10" ht="15" customHeight="1">
      <c r="A177" s="133"/>
    </row>
    <row r="178" spans="1:10" ht="15" customHeight="1">
      <c r="A178" s="142"/>
      <c r="B178" s="142"/>
      <c r="C178" s="142"/>
      <c r="D178" s="142"/>
      <c r="E178" s="142"/>
      <c r="F178" s="142"/>
      <c r="G178" s="142"/>
      <c r="J178" s="142"/>
    </row>
    <row r="180" spans="1:10" ht="15" customHeight="1">
      <c r="A180" s="132" t="s">
        <v>2448</v>
      </c>
      <c r="C180" s="135" t="s">
        <v>2666</v>
      </c>
      <c r="D180" s="136"/>
      <c r="E180" s="137"/>
      <c r="G180" s="149" t="s">
        <v>2465</v>
      </c>
      <c r="H180" s="135" t="s">
        <v>2705</v>
      </c>
      <c r="I180" s="136"/>
      <c r="J180" s="137"/>
    </row>
    <row r="182" spans="1:10" ht="15" customHeight="1">
      <c r="A182" s="134" t="s">
        <v>2456</v>
      </c>
      <c r="C182" s="135" t="s">
        <v>2711</v>
      </c>
      <c r="D182" s="136"/>
      <c r="E182" s="136"/>
      <c r="F182" s="137"/>
      <c r="I182" s="149" t="s">
        <v>2464</v>
      </c>
      <c r="J182" s="150">
        <v>1</v>
      </c>
    </row>
    <row r="183" spans="1:10" ht="15" customHeight="1">
      <c r="D183" s="134"/>
    </row>
    <row r="184" spans="1:10" ht="15" customHeight="1">
      <c r="A184" s="132" t="s">
        <v>2459</v>
      </c>
      <c r="D184" s="135" t="s">
        <v>2712</v>
      </c>
      <c r="E184" s="136"/>
      <c r="F184" s="136"/>
      <c r="G184" s="136"/>
      <c r="H184" s="136"/>
      <c r="I184" s="136"/>
      <c r="J184" s="137"/>
    </row>
    <row r="186" spans="1:10" ht="15" customHeight="1">
      <c r="A186" s="134" t="s">
        <v>2460</v>
      </c>
    </row>
    <row r="187" spans="1:10" ht="15" customHeight="1">
      <c r="A187" s="134"/>
    </row>
    <row r="188" spans="1:10" ht="15" customHeight="1">
      <c r="A188" s="130" t="s">
        <v>2713</v>
      </c>
      <c r="B188" s="129"/>
      <c r="C188" s="129"/>
      <c r="D188" s="129"/>
      <c r="E188" s="129"/>
      <c r="F188" s="129"/>
      <c r="G188" s="129"/>
      <c r="H188" s="129"/>
      <c r="I188" s="129"/>
      <c r="J188" s="128"/>
    </row>
    <row r="189" spans="1:10" ht="15" customHeight="1">
      <c r="A189" s="127" t="s">
        <v>2714</v>
      </c>
      <c r="B189" s="143"/>
      <c r="C189" s="143"/>
      <c r="D189" s="143"/>
      <c r="E189" s="143"/>
      <c r="F189" s="143"/>
      <c r="G189" s="143"/>
      <c r="H189" s="143"/>
      <c r="I189" s="143"/>
      <c r="J189" s="144"/>
    </row>
    <row r="190" spans="1:10" ht="15" customHeight="1">
      <c r="A190" s="127" t="s">
        <v>2715</v>
      </c>
      <c r="B190" s="143"/>
      <c r="C190" s="143"/>
      <c r="D190" s="143"/>
      <c r="E190" s="143"/>
      <c r="F190" s="143"/>
      <c r="G190" s="143"/>
      <c r="H190" s="143"/>
      <c r="I190" s="143"/>
      <c r="J190" s="144"/>
    </row>
    <row r="191" spans="1:10" ht="15" customHeight="1">
      <c r="A191" s="127" t="s">
        <v>2716</v>
      </c>
      <c r="B191" s="143"/>
      <c r="C191" s="143"/>
      <c r="D191" s="143"/>
      <c r="E191" s="143"/>
      <c r="F191" s="143"/>
      <c r="G191" s="143"/>
      <c r="H191" s="143"/>
      <c r="I191" s="143"/>
      <c r="J191" s="144"/>
    </row>
    <row r="192" spans="1:10" ht="15" customHeight="1">
      <c r="A192" s="127" t="s">
        <v>2717</v>
      </c>
      <c r="B192" s="143"/>
      <c r="C192" s="143"/>
      <c r="D192" s="143"/>
      <c r="E192" s="143"/>
      <c r="F192" s="143"/>
      <c r="G192" s="143"/>
      <c r="H192" s="143"/>
      <c r="I192" s="143"/>
      <c r="J192" s="144"/>
    </row>
    <row r="193" spans="1:10" ht="15" customHeight="1">
      <c r="A193" s="127" t="s">
        <v>2718</v>
      </c>
      <c r="B193" s="143"/>
      <c r="C193" s="143"/>
      <c r="D193" s="143"/>
      <c r="E193" s="143"/>
      <c r="F193" s="143"/>
      <c r="G193" s="143"/>
      <c r="H193" s="143"/>
      <c r="I193" s="143"/>
      <c r="J193" s="144"/>
    </row>
    <row r="194" spans="1:10" ht="15" customHeight="1">
      <c r="A194" s="127"/>
      <c r="B194" s="143"/>
      <c r="C194" s="143"/>
      <c r="D194" s="143"/>
      <c r="E194" s="143"/>
      <c r="F194" s="143"/>
      <c r="G194" s="143"/>
      <c r="H194" s="143"/>
      <c r="I194" s="143"/>
      <c r="J194" s="144"/>
    </row>
    <row r="195" spans="1:10" ht="15" customHeight="1">
      <c r="A195" s="127"/>
      <c r="B195" s="143"/>
      <c r="C195" s="143"/>
      <c r="D195" s="143"/>
      <c r="E195" s="143"/>
      <c r="F195" s="143"/>
      <c r="G195" s="143"/>
      <c r="H195" s="143"/>
      <c r="I195" s="143"/>
      <c r="J195" s="144"/>
    </row>
    <row r="196" spans="1:10" ht="15" customHeight="1">
      <c r="A196" s="145"/>
      <c r="B196" s="143"/>
      <c r="C196" s="143"/>
      <c r="D196" s="143"/>
      <c r="E196" s="143"/>
      <c r="F196" s="143"/>
      <c r="G196" s="143"/>
      <c r="H196" s="143"/>
      <c r="I196" s="143"/>
      <c r="J196" s="144"/>
    </row>
    <row r="197" spans="1:10" ht="15" customHeight="1">
      <c r="A197" s="127"/>
      <c r="B197" s="143"/>
      <c r="C197" s="143"/>
      <c r="D197" s="143"/>
      <c r="E197" s="143"/>
      <c r="F197" s="143"/>
      <c r="G197" s="143"/>
      <c r="H197" s="143"/>
      <c r="I197" s="143"/>
      <c r="J197" s="144"/>
    </row>
    <row r="198" spans="1:10" ht="15" customHeight="1">
      <c r="A198" s="146"/>
      <c r="B198" s="147"/>
      <c r="C198" s="147"/>
      <c r="D198" s="147"/>
      <c r="E198" s="147"/>
      <c r="F198" s="147"/>
      <c r="G198" s="147"/>
      <c r="H198" s="147"/>
      <c r="I198" s="147"/>
      <c r="J198" s="148"/>
    </row>
    <row r="200" spans="1:10" ht="15" customHeight="1">
      <c r="F200" s="134"/>
      <c r="G200" s="152" t="s">
        <v>2449</v>
      </c>
      <c r="H200" s="152"/>
      <c r="I200" s="152"/>
      <c r="J200" s="155">
        <v>10705</v>
      </c>
    </row>
    <row r="201" spans="1:10" ht="15" customHeight="1">
      <c r="F201" s="134"/>
      <c r="G201" s="132" t="s">
        <v>2463</v>
      </c>
      <c r="J201" s="139">
        <v>5000</v>
      </c>
    </row>
    <row r="202" spans="1:10" ht="15" customHeight="1">
      <c r="F202" s="134"/>
      <c r="G202" s="132" t="s">
        <v>2450</v>
      </c>
      <c r="J202" s="140">
        <v>15000</v>
      </c>
    </row>
    <row r="204" spans="1:10" ht="15" customHeight="1">
      <c r="E204" s="1" t="s">
        <v>2451</v>
      </c>
      <c r="F204" s="1" t="s">
        <v>2452</v>
      </c>
      <c r="G204" s="132" t="s">
        <v>2453</v>
      </c>
      <c r="J204" s="1" t="s">
        <v>2454</v>
      </c>
    </row>
    <row r="205" spans="1:10" ht="15" customHeight="1">
      <c r="C205" s="132" t="s">
        <v>2461</v>
      </c>
      <c r="E205" s="150"/>
      <c r="F205" s="150"/>
      <c r="G205" s="138"/>
      <c r="H205" s="141"/>
      <c r="J205" s="139"/>
    </row>
    <row r="206" spans="1:10" ht="15" customHeight="1">
      <c r="C206" s="132" t="s">
        <v>2461</v>
      </c>
      <c r="E206" s="150"/>
      <c r="F206" s="150"/>
      <c r="G206" s="138"/>
      <c r="H206" s="141"/>
      <c r="J206" s="139"/>
    </row>
    <row r="207" spans="1:10" ht="15" customHeight="1">
      <c r="C207" s="132" t="s">
        <v>2461</v>
      </c>
      <c r="E207" s="150"/>
      <c r="F207" s="150"/>
      <c r="G207" s="138"/>
      <c r="H207" s="141"/>
      <c r="J207" s="139"/>
    </row>
    <row r="208" spans="1:10" ht="15" customHeight="1">
      <c r="C208" s="132" t="s">
        <v>2461</v>
      </c>
      <c r="E208" s="150"/>
      <c r="F208" s="150"/>
      <c r="G208" s="138"/>
      <c r="H208" s="141"/>
      <c r="J208" s="139"/>
    </row>
    <row r="209" spans="3:10" ht="15" customHeight="1">
      <c r="C209" s="132" t="s">
        <v>2461</v>
      </c>
      <c r="E209" s="150"/>
      <c r="F209" s="150"/>
      <c r="G209" s="138"/>
      <c r="H209" s="141"/>
      <c r="J209" s="139"/>
    </row>
    <row r="210" spans="3:10" ht="15" customHeight="1">
      <c r="C210" s="132" t="s">
        <v>2461</v>
      </c>
      <c r="E210" s="150"/>
      <c r="F210" s="150"/>
      <c r="G210" s="138"/>
      <c r="H210" s="141"/>
      <c r="J210" s="139"/>
    </row>
    <row r="211" spans="3:10" ht="15" customHeight="1">
      <c r="C211" s="132" t="s">
        <v>2461</v>
      </c>
      <c r="E211" s="150"/>
      <c r="F211" s="150"/>
      <c r="G211" s="138"/>
      <c r="H211" s="141"/>
      <c r="J211" s="139"/>
    </row>
    <row r="212" spans="3:10" ht="15" customHeight="1">
      <c r="C212" s="132" t="s">
        <v>2461</v>
      </c>
      <c r="E212" s="150"/>
      <c r="F212" s="150"/>
      <c r="G212" s="138"/>
      <c r="H212" s="141"/>
      <c r="J212" s="139"/>
    </row>
    <row r="213" spans="3:10" ht="15" customHeight="1">
      <c r="C213" s="132" t="s">
        <v>2461</v>
      </c>
      <c r="E213" s="150"/>
      <c r="F213" s="150"/>
      <c r="G213" s="138"/>
      <c r="H213" s="141"/>
      <c r="J213" s="139"/>
    </row>
    <row r="214" spans="3:10" ht="15" customHeight="1">
      <c r="C214" s="132" t="s">
        <v>2461</v>
      </c>
      <c r="E214" s="150"/>
      <c r="F214" s="150"/>
      <c r="G214" s="138"/>
      <c r="H214" s="141"/>
      <c r="J214" s="139"/>
    </row>
    <row r="215" spans="3:10" ht="15" customHeight="1">
      <c r="C215" s="132" t="s">
        <v>2461</v>
      </c>
      <c r="E215" s="150"/>
      <c r="F215" s="150"/>
      <c r="G215" s="138">
        <v>5555</v>
      </c>
      <c r="H215" s="141"/>
      <c r="J215" s="139">
        <v>10705</v>
      </c>
    </row>
    <row r="216" spans="3:10" ht="15" customHeight="1">
      <c r="C216" s="132" t="s">
        <v>2461</v>
      </c>
      <c r="E216" s="150"/>
      <c r="F216" s="150"/>
      <c r="G216" s="138" t="s">
        <v>2455</v>
      </c>
      <c r="H216" s="141"/>
      <c r="I216" s="131" t="s">
        <v>2462</v>
      </c>
      <c r="J216" s="139">
        <v>-15000</v>
      </c>
    </row>
    <row r="217" spans="3:10" ht="15" customHeight="1">
      <c r="E217" s="154"/>
      <c r="F217" s="154"/>
      <c r="G217" s="154"/>
      <c r="H217" s="154"/>
      <c r="I217" s="154"/>
      <c r="J217" s="154"/>
    </row>
    <row r="218" spans="3:10" ht="15" customHeight="1">
      <c r="F218" s="134"/>
      <c r="G218" s="152" t="s">
        <v>2466</v>
      </c>
      <c r="H218" s="152"/>
      <c r="I218" s="152"/>
      <c r="J218" s="153">
        <f>SUM(J205:J216)</f>
        <v>-4295</v>
      </c>
    </row>
    <row r="219" spans="3:10" ht="15" customHeight="1">
      <c r="F219" s="134"/>
      <c r="G219" s="152"/>
      <c r="H219" s="152"/>
      <c r="I219" s="152"/>
      <c r="J219" s="157"/>
    </row>
    <row r="220" spans="3:10" ht="15" customHeight="1">
      <c r="F220" s="134"/>
      <c r="G220" s="142" t="s">
        <v>2458</v>
      </c>
      <c r="H220" s="142"/>
      <c r="I220" s="142"/>
      <c r="J220" s="156">
        <f>+J218-J200+J202</f>
        <v>0</v>
      </c>
    </row>
    <row r="223" spans="3:10" ht="15" customHeight="1">
      <c r="F223" s="1"/>
    </row>
    <row r="224" spans="3:10" ht="15" customHeight="1">
      <c r="F224" s="1"/>
    </row>
    <row r="225" spans="1:10" ht="15" customHeight="1">
      <c r="A225" s="134"/>
    </row>
    <row r="226" spans="1:10" ht="15" customHeight="1">
      <c r="A226" s="134"/>
    </row>
    <row r="227" spans="1:10" ht="15" customHeight="1">
      <c r="A227" s="133"/>
    </row>
    <row r="228" spans="1:10" ht="15" customHeight="1">
      <c r="A228" s="133"/>
    </row>
    <row r="229" spans="1:10" ht="15" customHeight="1">
      <c r="F229" s="151" t="s">
        <v>2580</v>
      </c>
    </row>
    <row r="230" spans="1:10" ht="15" customHeight="1">
      <c r="A230" s="133"/>
    </row>
    <row r="231" spans="1:10" ht="15" customHeight="1">
      <c r="A231" s="133"/>
      <c r="F231" s="151" t="s">
        <v>2447</v>
      </c>
    </row>
    <row r="232" spans="1:10" ht="15" customHeight="1">
      <c r="A232" s="133"/>
    </row>
    <row r="233" spans="1:10" ht="15" customHeight="1">
      <c r="A233" s="142"/>
      <c r="B233" s="142"/>
      <c r="C233" s="142"/>
      <c r="D233" s="142"/>
      <c r="E233" s="142"/>
      <c r="F233" s="142"/>
      <c r="G233" s="142"/>
      <c r="J233" s="142"/>
    </row>
    <row r="235" spans="1:10" ht="15" customHeight="1">
      <c r="A235" s="132" t="s">
        <v>2448</v>
      </c>
      <c r="C235" s="135" t="s">
        <v>2719</v>
      </c>
      <c r="D235" s="136"/>
      <c r="E235" s="137"/>
      <c r="G235" s="149" t="s">
        <v>2465</v>
      </c>
      <c r="H235" s="135" t="s">
        <v>2720</v>
      </c>
      <c r="I235" s="136"/>
      <c r="J235" s="137"/>
    </row>
    <row r="237" spans="1:10" ht="15" customHeight="1">
      <c r="A237" s="134" t="s">
        <v>2456</v>
      </c>
      <c r="C237" s="135" t="s">
        <v>2668</v>
      </c>
      <c r="D237" s="136"/>
      <c r="E237" s="136"/>
      <c r="F237" s="137"/>
      <c r="I237" s="149" t="s">
        <v>2464</v>
      </c>
      <c r="J237" s="150">
        <v>1</v>
      </c>
    </row>
    <row r="238" spans="1:10" ht="15" customHeight="1">
      <c r="D238" s="134"/>
    </row>
    <row r="239" spans="1:10" ht="15" customHeight="1">
      <c r="A239" s="132" t="s">
        <v>2459</v>
      </c>
      <c r="D239" s="135" t="s">
        <v>2721</v>
      </c>
      <c r="E239" s="136"/>
      <c r="F239" s="136"/>
      <c r="G239" s="136"/>
      <c r="H239" s="136"/>
      <c r="I239" s="136"/>
      <c r="J239" s="137"/>
    </row>
    <row r="241" spans="1:10" ht="15" customHeight="1">
      <c r="A241" s="134" t="s">
        <v>2460</v>
      </c>
    </row>
    <row r="242" spans="1:10" ht="15" customHeight="1">
      <c r="A242" s="134"/>
    </row>
    <row r="243" spans="1:10" ht="15" customHeight="1">
      <c r="A243" s="130" t="s">
        <v>2722</v>
      </c>
      <c r="B243" s="129"/>
      <c r="C243" s="129"/>
      <c r="D243" s="129"/>
      <c r="E243" s="129"/>
      <c r="F243" s="129"/>
      <c r="G243" s="129"/>
      <c r="H243" s="129"/>
      <c r="I243" s="129"/>
      <c r="J243" s="128"/>
    </row>
    <row r="244" spans="1:10" ht="15" customHeight="1">
      <c r="A244" s="127"/>
      <c r="B244" s="143"/>
      <c r="C244" s="143"/>
      <c r="D244" s="143"/>
      <c r="E244" s="143"/>
      <c r="F244" s="143"/>
      <c r="G244" s="143"/>
      <c r="H244" s="143"/>
      <c r="I244" s="143"/>
      <c r="J244" s="144"/>
    </row>
    <row r="245" spans="1:10" ht="15" customHeight="1">
      <c r="A245" s="127"/>
      <c r="B245" s="143"/>
      <c r="C245" s="143"/>
      <c r="D245" s="143"/>
      <c r="E245" s="143"/>
      <c r="F245" s="143"/>
      <c r="G245" s="143"/>
      <c r="H245" s="143"/>
      <c r="I245" s="143"/>
      <c r="J245" s="144"/>
    </row>
    <row r="246" spans="1:10" ht="15" customHeight="1">
      <c r="A246" s="127"/>
      <c r="B246" s="143"/>
      <c r="C246" s="143"/>
      <c r="D246" s="143"/>
      <c r="E246" s="143"/>
      <c r="F246" s="143"/>
      <c r="G246" s="143"/>
      <c r="H246" s="143"/>
      <c r="I246" s="143"/>
      <c r="J246" s="144"/>
    </row>
    <row r="247" spans="1:10" ht="15" customHeight="1">
      <c r="A247" s="127"/>
      <c r="B247" s="143"/>
      <c r="C247" s="143"/>
      <c r="D247" s="143"/>
      <c r="E247" s="143"/>
      <c r="F247" s="143"/>
      <c r="G247" s="143"/>
      <c r="H247" s="143"/>
      <c r="I247" s="143"/>
      <c r="J247" s="144"/>
    </row>
    <row r="248" spans="1:10" ht="15" customHeight="1">
      <c r="A248" s="127"/>
      <c r="B248" s="143"/>
      <c r="C248" s="143"/>
      <c r="D248" s="143"/>
      <c r="E248" s="143"/>
      <c r="F248" s="143"/>
      <c r="G248" s="143"/>
      <c r="H248" s="143"/>
      <c r="I248" s="143"/>
      <c r="J248" s="144"/>
    </row>
    <row r="249" spans="1:10" ht="15" customHeight="1">
      <c r="A249" s="127"/>
      <c r="B249" s="143"/>
      <c r="C249" s="143"/>
      <c r="D249" s="143"/>
      <c r="E249" s="143"/>
      <c r="F249" s="143"/>
      <c r="G249" s="143"/>
      <c r="H249" s="143"/>
      <c r="I249" s="143"/>
      <c r="J249" s="144"/>
    </row>
    <row r="250" spans="1:10" ht="15" customHeight="1">
      <c r="A250" s="127"/>
      <c r="B250" s="143"/>
      <c r="C250" s="143"/>
      <c r="D250" s="143"/>
      <c r="E250" s="143"/>
      <c r="F250" s="143"/>
      <c r="G250" s="143"/>
      <c r="H250" s="143"/>
      <c r="I250" s="143"/>
      <c r="J250" s="144"/>
    </row>
    <row r="251" spans="1:10" ht="15" customHeight="1">
      <c r="A251" s="145"/>
      <c r="B251" s="143"/>
      <c r="C251" s="143"/>
      <c r="D251" s="143"/>
      <c r="E251" s="143"/>
      <c r="F251" s="143"/>
      <c r="G251" s="143"/>
      <c r="H251" s="143"/>
      <c r="I251" s="143"/>
      <c r="J251" s="144"/>
    </row>
    <row r="252" spans="1:10" ht="15" customHeight="1">
      <c r="A252" s="127"/>
      <c r="B252" s="143"/>
      <c r="C252" s="143"/>
      <c r="D252" s="143"/>
      <c r="E252" s="143"/>
      <c r="F252" s="143"/>
      <c r="G252" s="143"/>
      <c r="H252" s="143"/>
      <c r="I252" s="143"/>
      <c r="J252" s="144"/>
    </row>
    <row r="253" spans="1:10" ht="15" customHeight="1">
      <c r="A253" s="146"/>
      <c r="B253" s="147"/>
      <c r="C253" s="147"/>
      <c r="D253" s="147"/>
      <c r="E253" s="147"/>
      <c r="F253" s="147"/>
      <c r="G253" s="147"/>
      <c r="H253" s="147"/>
      <c r="I253" s="147"/>
      <c r="J253" s="148"/>
    </row>
    <row r="255" spans="1:10" ht="15" customHeight="1">
      <c r="F255" s="134"/>
      <c r="G255" s="152" t="s">
        <v>2449</v>
      </c>
      <c r="H255" s="152"/>
      <c r="I255" s="152"/>
      <c r="J255" s="155">
        <v>29700</v>
      </c>
    </row>
    <row r="256" spans="1:10" ht="15" customHeight="1">
      <c r="F256" s="134"/>
      <c r="G256" s="132" t="s">
        <v>2463</v>
      </c>
      <c r="J256" s="139">
        <v>0</v>
      </c>
    </row>
    <row r="257" spans="3:10" ht="15" customHeight="1">
      <c r="F257" s="134"/>
      <c r="G257" s="132" t="s">
        <v>2450</v>
      </c>
      <c r="J257" s="140">
        <v>0</v>
      </c>
    </row>
    <row r="259" spans="3:10" ht="15" customHeight="1">
      <c r="E259" s="1" t="s">
        <v>2451</v>
      </c>
      <c r="F259" s="1" t="s">
        <v>2452</v>
      </c>
      <c r="G259" s="132" t="s">
        <v>2453</v>
      </c>
      <c r="J259" s="1" t="s">
        <v>2454</v>
      </c>
    </row>
    <row r="260" spans="3:10" ht="15" customHeight="1">
      <c r="C260" s="132" t="s">
        <v>2461</v>
      </c>
      <c r="E260" s="150"/>
      <c r="F260" s="150"/>
      <c r="G260" s="138"/>
      <c r="H260" s="141"/>
      <c r="J260" s="139"/>
    </row>
    <row r="261" spans="3:10" ht="15" customHeight="1">
      <c r="C261" s="132" t="s">
        <v>2461</v>
      </c>
      <c r="E261" s="150"/>
      <c r="F261" s="150"/>
      <c r="G261" s="138"/>
      <c r="H261" s="141"/>
      <c r="J261" s="139"/>
    </row>
    <row r="262" spans="3:10" ht="15" customHeight="1">
      <c r="C262" s="132" t="s">
        <v>2461</v>
      </c>
      <c r="E262" s="150"/>
      <c r="F262" s="150"/>
      <c r="G262" s="138"/>
      <c r="H262" s="141"/>
      <c r="J262" s="139"/>
    </row>
    <row r="263" spans="3:10" ht="15" customHeight="1">
      <c r="C263" s="132" t="s">
        <v>2461</v>
      </c>
      <c r="E263" s="150"/>
      <c r="F263" s="150"/>
      <c r="G263" s="138"/>
      <c r="H263" s="141"/>
      <c r="J263" s="139"/>
    </row>
    <row r="264" spans="3:10" ht="15" customHeight="1">
      <c r="C264" s="132" t="s">
        <v>2461</v>
      </c>
      <c r="E264" s="150"/>
      <c r="F264" s="150"/>
      <c r="G264" s="138"/>
      <c r="H264" s="141"/>
      <c r="J264" s="139"/>
    </row>
    <row r="265" spans="3:10" ht="15" customHeight="1">
      <c r="C265" s="132" t="s">
        <v>2461</v>
      </c>
      <c r="E265" s="150"/>
      <c r="F265" s="150"/>
      <c r="G265" s="138"/>
      <c r="H265" s="141"/>
      <c r="J265" s="139"/>
    </row>
    <row r="266" spans="3:10" ht="15" customHeight="1">
      <c r="C266" s="132" t="s">
        <v>2461</v>
      </c>
      <c r="E266" s="150"/>
      <c r="F266" s="150"/>
      <c r="G266" s="138"/>
      <c r="H266" s="141"/>
      <c r="J266" s="139"/>
    </row>
    <row r="267" spans="3:10" ht="15" customHeight="1">
      <c r="C267" s="132" t="s">
        <v>2461</v>
      </c>
      <c r="E267" s="150"/>
      <c r="F267" s="150"/>
      <c r="G267" s="138"/>
      <c r="H267" s="141"/>
      <c r="J267" s="139"/>
    </row>
    <row r="268" spans="3:10" ht="15" customHeight="1">
      <c r="C268" s="132" t="s">
        <v>2461</v>
      </c>
      <c r="E268" s="150"/>
      <c r="F268" s="150"/>
      <c r="G268" s="138"/>
      <c r="H268" s="141"/>
      <c r="J268" s="139"/>
    </row>
    <row r="269" spans="3:10" ht="15" customHeight="1">
      <c r="C269" s="132" t="s">
        <v>2461</v>
      </c>
      <c r="E269" s="150"/>
      <c r="F269" s="150"/>
      <c r="G269" s="138"/>
      <c r="H269" s="141"/>
      <c r="J269" s="139"/>
    </row>
    <row r="270" spans="3:10" ht="15" customHeight="1">
      <c r="C270" s="132" t="s">
        <v>2461</v>
      </c>
      <c r="E270" s="150"/>
      <c r="F270" s="150"/>
      <c r="G270" s="138">
        <v>5230</v>
      </c>
      <c r="H270" s="141"/>
      <c r="J270" s="139">
        <v>29700</v>
      </c>
    </row>
    <row r="271" spans="3:10" ht="15" customHeight="1">
      <c r="C271" s="132" t="s">
        <v>2461</v>
      </c>
      <c r="E271" s="150"/>
      <c r="F271" s="150"/>
      <c r="G271" s="138" t="s">
        <v>2455</v>
      </c>
      <c r="H271" s="141"/>
      <c r="I271" s="131" t="s">
        <v>2462</v>
      </c>
      <c r="J271" s="139">
        <v>-15000</v>
      </c>
    </row>
    <row r="272" spans="3:10" ht="15" customHeight="1">
      <c r="E272" s="154"/>
      <c r="F272" s="154"/>
      <c r="G272" s="154"/>
      <c r="H272" s="154"/>
      <c r="I272" s="154"/>
      <c r="J272" s="154"/>
    </row>
    <row r="273" spans="1:10" ht="15" customHeight="1">
      <c r="F273" s="134"/>
      <c r="G273" s="152" t="s">
        <v>2466</v>
      </c>
      <c r="H273" s="152"/>
      <c r="I273" s="152"/>
      <c r="J273" s="153">
        <f>SUM(J260:J271)</f>
        <v>14700</v>
      </c>
    </row>
    <row r="274" spans="1:10" ht="15" customHeight="1">
      <c r="F274" s="134"/>
      <c r="G274" s="152"/>
      <c r="H274" s="152"/>
      <c r="I274" s="152"/>
      <c r="J274" s="157"/>
    </row>
    <row r="275" spans="1:10" ht="15" customHeight="1">
      <c r="F275" s="134"/>
      <c r="G275" s="142" t="s">
        <v>2458</v>
      </c>
      <c r="H275" s="142"/>
      <c r="I275" s="142"/>
      <c r="J275" s="156">
        <f>+J273-J255+J257</f>
        <v>-15000</v>
      </c>
    </row>
    <row r="280" spans="1:10" ht="15" customHeight="1">
      <c r="F280" s="1"/>
    </row>
    <row r="281" spans="1:10" ht="15" customHeight="1">
      <c r="F281" s="1"/>
    </row>
    <row r="282" spans="1:10" ht="15" customHeight="1">
      <c r="A282" s="134"/>
    </row>
    <row r="283" spans="1:10" ht="15" customHeight="1">
      <c r="A283" s="134"/>
    </row>
    <row r="284" spans="1:10" ht="15" customHeight="1">
      <c r="A284" s="133"/>
    </row>
    <row r="285" spans="1:10" ht="15" customHeight="1">
      <c r="A285" s="133"/>
    </row>
    <row r="286" spans="1:10" ht="15" customHeight="1">
      <c r="F286" s="151" t="s">
        <v>2580</v>
      </c>
    </row>
    <row r="287" spans="1:10" ht="15" customHeight="1">
      <c r="A287" s="133"/>
    </row>
    <row r="288" spans="1:10" ht="15" customHeight="1">
      <c r="A288" s="133"/>
      <c r="F288" s="151" t="s">
        <v>2447</v>
      </c>
    </row>
    <row r="289" spans="1:10" ht="15" customHeight="1">
      <c r="A289" s="133"/>
    </row>
    <row r="290" spans="1:10" ht="15" customHeight="1">
      <c r="A290" s="142"/>
      <c r="B290" s="142"/>
      <c r="C290" s="142"/>
      <c r="D290" s="142"/>
      <c r="E290" s="142"/>
      <c r="F290" s="142"/>
      <c r="G290" s="142"/>
      <c r="J290" s="142"/>
    </row>
    <row r="292" spans="1:10" ht="15" customHeight="1">
      <c r="A292" s="132" t="s">
        <v>2448</v>
      </c>
      <c r="C292" s="135" t="s">
        <v>2666</v>
      </c>
      <c r="D292" s="136"/>
      <c r="E292" s="137"/>
      <c r="G292" s="149" t="s">
        <v>2465</v>
      </c>
      <c r="H292" s="135" t="s">
        <v>2720</v>
      </c>
      <c r="I292" s="136"/>
      <c r="J292" s="137"/>
    </row>
    <row r="294" spans="1:10" ht="15" customHeight="1">
      <c r="A294" s="134" t="s">
        <v>2456</v>
      </c>
      <c r="C294" s="135" t="s">
        <v>2723</v>
      </c>
      <c r="D294" s="136"/>
      <c r="E294" s="136"/>
      <c r="F294" s="137"/>
      <c r="I294" s="149" t="s">
        <v>2464</v>
      </c>
      <c r="J294" s="150">
        <v>1</v>
      </c>
    </row>
    <row r="295" spans="1:10" ht="15" customHeight="1">
      <c r="D295" s="134"/>
    </row>
    <row r="296" spans="1:10" ht="15" customHeight="1">
      <c r="A296" s="132" t="s">
        <v>2459</v>
      </c>
      <c r="D296" s="135" t="s">
        <v>2724</v>
      </c>
      <c r="E296" s="136"/>
      <c r="F296" s="136"/>
      <c r="G296" s="136"/>
      <c r="H296" s="136"/>
      <c r="I296" s="136"/>
      <c r="J296" s="137"/>
    </row>
    <row r="298" spans="1:10" ht="15" customHeight="1">
      <c r="A298" s="134" t="s">
        <v>2460</v>
      </c>
    </row>
    <row r="299" spans="1:10" ht="15" customHeight="1">
      <c r="A299" s="134"/>
    </row>
    <row r="300" spans="1:10" ht="15" customHeight="1">
      <c r="A300" s="130" t="s">
        <v>2725</v>
      </c>
      <c r="B300" s="129"/>
      <c r="C300" s="129"/>
      <c r="D300" s="129"/>
      <c r="E300" s="129"/>
      <c r="F300" s="129"/>
      <c r="G300" s="129"/>
      <c r="H300" s="129"/>
      <c r="I300" s="129"/>
      <c r="J300" s="128"/>
    </row>
    <row r="301" spans="1:10" ht="15" customHeight="1">
      <c r="A301" s="127" t="s">
        <v>2726</v>
      </c>
      <c r="B301" s="143"/>
      <c r="C301" s="143"/>
      <c r="D301" s="143"/>
      <c r="E301" s="143"/>
      <c r="F301" s="143"/>
      <c r="G301" s="143"/>
      <c r="H301" s="143"/>
      <c r="I301" s="143"/>
      <c r="J301" s="144"/>
    </row>
    <row r="302" spans="1:10" ht="15" customHeight="1">
      <c r="A302" s="127" t="s">
        <v>2727</v>
      </c>
      <c r="B302" s="143"/>
      <c r="C302" s="143"/>
      <c r="D302" s="143"/>
      <c r="E302" s="143"/>
      <c r="F302" s="143"/>
      <c r="G302" s="143"/>
      <c r="H302" s="143"/>
      <c r="I302" s="143"/>
      <c r="J302" s="144"/>
    </row>
    <row r="303" spans="1:10" ht="15" customHeight="1">
      <c r="A303" s="127"/>
      <c r="B303" s="143"/>
      <c r="C303" s="143"/>
      <c r="D303" s="143"/>
      <c r="E303" s="143"/>
      <c r="F303" s="143"/>
      <c r="G303" s="143"/>
      <c r="H303" s="143"/>
      <c r="I303" s="143"/>
      <c r="J303" s="144"/>
    </row>
    <row r="304" spans="1:10" ht="15" customHeight="1">
      <c r="A304" s="127"/>
      <c r="B304" s="143"/>
      <c r="C304" s="143"/>
      <c r="D304" s="143"/>
      <c r="E304" s="143"/>
      <c r="F304" s="143"/>
      <c r="G304" s="143"/>
      <c r="H304" s="143"/>
      <c r="I304" s="143"/>
      <c r="J304" s="144"/>
    </row>
    <row r="305" spans="1:10" ht="15" customHeight="1">
      <c r="A305" s="127"/>
      <c r="B305" s="143"/>
      <c r="C305" s="143"/>
      <c r="D305" s="143"/>
      <c r="E305" s="143"/>
      <c r="F305" s="143"/>
      <c r="G305" s="143"/>
      <c r="H305" s="143"/>
      <c r="I305" s="143"/>
      <c r="J305" s="144"/>
    </row>
    <row r="306" spans="1:10" ht="15" customHeight="1">
      <c r="A306" s="127"/>
      <c r="B306" s="143"/>
      <c r="C306" s="143"/>
      <c r="D306" s="143"/>
      <c r="E306" s="143"/>
      <c r="F306" s="143"/>
      <c r="G306" s="143"/>
      <c r="H306" s="143"/>
      <c r="I306" s="143"/>
      <c r="J306" s="144"/>
    </row>
    <row r="307" spans="1:10" ht="15" customHeight="1">
      <c r="A307" s="127"/>
      <c r="B307" s="143"/>
      <c r="C307" s="143"/>
      <c r="D307" s="143"/>
      <c r="E307" s="143"/>
      <c r="F307" s="143"/>
      <c r="G307" s="143"/>
      <c r="H307" s="143"/>
      <c r="I307" s="143"/>
      <c r="J307" s="144"/>
    </row>
    <row r="308" spans="1:10" ht="15" customHeight="1">
      <c r="A308" s="145"/>
      <c r="B308" s="143"/>
      <c r="C308" s="143"/>
      <c r="D308" s="143"/>
      <c r="E308" s="143"/>
      <c r="F308" s="143"/>
      <c r="G308" s="143"/>
      <c r="H308" s="143"/>
      <c r="I308" s="143"/>
      <c r="J308" s="144"/>
    </row>
    <row r="309" spans="1:10" ht="15" customHeight="1">
      <c r="A309" s="127"/>
      <c r="B309" s="143"/>
      <c r="C309" s="143"/>
      <c r="D309" s="143"/>
      <c r="E309" s="143"/>
      <c r="F309" s="143"/>
      <c r="G309" s="143"/>
      <c r="H309" s="143"/>
      <c r="I309" s="143"/>
      <c r="J309" s="144"/>
    </row>
    <row r="310" spans="1:10" ht="15" customHeight="1">
      <c r="A310" s="146"/>
      <c r="B310" s="147"/>
      <c r="C310" s="147"/>
      <c r="D310" s="147"/>
      <c r="E310" s="147"/>
      <c r="F310" s="147"/>
      <c r="G310" s="147"/>
      <c r="H310" s="147"/>
      <c r="I310" s="147"/>
      <c r="J310" s="148"/>
    </row>
    <row r="312" spans="1:10" ht="15" customHeight="1">
      <c r="F312" s="134"/>
      <c r="G312" s="152" t="s">
        <v>2449</v>
      </c>
      <c r="H312" s="152"/>
      <c r="I312" s="152"/>
      <c r="J312" s="155">
        <v>6000</v>
      </c>
    </row>
    <row r="313" spans="1:10" ht="15" customHeight="1">
      <c r="F313" s="134"/>
      <c r="G313" s="132" t="s">
        <v>2463</v>
      </c>
      <c r="J313" s="139">
        <v>0</v>
      </c>
    </row>
    <row r="314" spans="1:10" ht="15" customHeight="1">
      <c r="F314" s="134"/>
      <c r="G314" s="132" t="s">
        <v>2450</v>
      </c>
      <c r="J314" s="140">
        <v>0</v>
      </c>
    </row>
    <row r="316" spans="1:10" ht="15" customHeight="1">
      <c r="E316" s="1" t="s">
        <v>2451</v>
      </c>
      <c r="F316" s="1" t="s">
        <v>2452</v>
      </c>
      <c r="G316" s="132" t="s">
        <v>2453</v>
      </c>
      <c r="J316" s="1" t="s">
        <v>2454</v>
      </c>
    </row>
    <row r="317" spans="1:10" ht="15" customHeight="1">
      <c r="C317" s="132" t="s">
        <v>2461</v>
      </c>
      <c r="E317" s="150"/>
      <c r="F317" s="150"/>
      <c r="G317" s="138"/>
      <c r="H317" s="141"/>
      <c r="J317" s="139"/>
    </row>
    <row r="318" spans="1:10" ht="15" customHeight="1">
      <c r="C318" s="132" t="s">
        <v>2461</v>
      </c>
      <c r="E318" s="150"/>
      <c r="F318" s="150"/>
      <c r="G318" s="138"/>
      <c r="H318" s="141"/>
      <c r="J318" s="139"/>
    </row>
    <row r="319" spans="1:10" ht="15" customHeight="1">
      <c r="C319" s="132" t="s">
        <v>2461</v>
      </c>
      <c r="E319" s="150"/>
      <c r="F319" s="150"/>
      <c r="G319" s="138"/>
      <c r="H319" s="141"/>
      <c r="J319" s="139"/>
    </row>
    <row r="320" spans="1:10" ht="15" customHeight="1">
      <c r="C320" s="132" t="s">
        <v>2461</v>
      </c>
      <c r="E320" s="150"/>
      <c r="F320" s="150"/>
      <c r="G320" s="138"/>
      <c r="H320" s="141"/>
      <c r="J320" s="139"/>
    </row>
    <row r="321" spans="3:10" ht="15" customHeight="1">
      <c r="C321" s="132" t="s">
        <v>2461</v>
      </c>
      <c r="E321" s="150"/>
      <c r="F321" s="150"/>
      <c r="G321" s="138"/>
      <c r="H321" s="141"/>
      <c r="J321" s="139"/>
    </row>
    <row r="322" spans="3:10" ht="15" customHeight="1">
      <c r="C322" s="132" t="s">
        <v>2461</v>
      </c>
      <c r="E322" s="150"/>
      <c r="F322" s="150"/>
      <c r="G322" s="138"/>
      <c r="H322" s="141"/>
      <c r="J322" s="139"/>
    </row>
    <row r="323" spans="3:10" ht="15" customHeight="1">
      <c r="C323" s="132" t="s">
        <v>2461</v>
      </c>
      <c r="E323" s="150"/>
      <c r="F323" s="150"/>
      <c r="G323" s="138"/>
      <c r="H323" s="141"/>
      <c r="J323" s="139"/>
    </row>
    <row r="324" spans="3:10" ht="15" customHeight="1">
      <c r="C324" s="132" t="s">
        <v>2461</v>
      </c>
      <c r="E324" s="150"/>
      <c r="F324" s="150"/>
      <c r="G324" s="138"/>
      <c r="H324" s="141"/>
      <c r="J324" s="139"/>
    </row>
    <row r="325" spans="3:10" ht="15" customHeight="1">
      <c r="C325" s="132" t="s">
        <v>2461</v>
      </c>
      <c r="E325" s="150"/>
      <c r="F325" s="150"/>
      <c r="G325" s="138"/>
      <c r="H325" s="141"/>
      <c r="J325" s="139"/>
    </row>
    <row r="326" spans="3:10" ht="15" customHeight="1">
      <c r="C326" s="132" t="s">
        <v>2461</v>
      </c>
      <c r="E326" s="150"/>
      <c r="F326" s="150"/>
      <c r="G326" s="138"/>
      <c r="H326" s="141"/>
      <c r="J326" s="139"/>
    </row>
    <row r="327" spans="3:10" ht="15" customHeight="1">
      <c r="C327" s="132" t="s">
        <v>2461</v>
      </c>
      <c r="E327" s="150"/>
      <c r="F327" s="150"/>
      <c r="G327" s="138">
        <v>5308</v>
      </c>
      <c r="H327" s="141"/>
      <c r="J327" s="139">
        <v>6000</v>
      </c>
    </row>
    <row r="328" spans="3:10" ht="15" customHeight="1">
      <c r="C328" s="132" t="s">
        <v>2461</v>
      </c>
      <c r="E328" s="150"/>
      <c r="F328" s="150"/>
      <c r="G328" s="138"/>
      <c r="H328" s="141"/>
      <c r="I328" s="131" t="s">
        <v>2462</v>
      </c>
      <c r="J328" s="139">
        <v>0</v>
      </c>
    </row>
    <row r="329" spans="3:10" ht="15" customHeight="1">
      <c r="E329" s="154"/>
      <c r="F329" s="154"/>
      <c r="G329" s="154"/>
      <c r="H329" s="154"/>
      <c r="I329" s="154"/>
      <c r="J329" s="154"/>
    </row>
    <row r="330" spans="3:10" ht="15" customHeight="1">
      <c r="F330" s="134"/>
      <c r="G330" s="152" t="s">
        <v>2466</v>
      </c>
      <c r="H330" s="152"/>
      <c r="I330" s="152"/>
      <c r="J330" s="153">
        <f>SUM(J317:J328)</f>
        <v>6000</v>
      </c>
    </row>
    <row r="331" spans="3:10" ht="15" customHeight="1">
      <c r="F331" s="134"/>
      <c r="G331" s="152"/>
      <c r="H331" s="152"/>
      <c r="I331" s="152"/>
      <c r="J331" s="157"/>
    </row>
    <row r="332" spans="3:10" ht="15" customHeight="1">
      <c r="F332" s="134"/>
      <c r="G332" s="142" t="s">
        <v>2458</v>
      </c>
      <c r="H332" s="142"/>
      <c r="I332" s="142"/>
      <c r="J332" s="156">
        <f>+J330-J312+J314</f>
        <v>0</v>
      </c>
    </row>
    <row r="336" spans="3:10" ht="15" customHeight="1">
      <c r="F336" s="1"/>
    </row>
    <row r="337" spans="1:10" ht="15" customHeight="1">
      <c r="F337" s="1"/>
    </row>
    <row r="338" spans="1:10" ht="15" customHeight="1">
      <c r="A338" s="134"/>
    </row>
    <row r="339" spans="1:10" ht="15" customHeight="1">
      <c r="A339" s="134"/>
    </row>
    <row r="340" spans="1:10" ht="15" customHeight="1">
      <c r="A340" s="133"/>
    </row>
    <row r="341" spans="1:10" ht="15" customHeight="1">
      <c r="A341" s="133"/>
    </row>
    <row r="342" spans="1:10" ht="15" customHeight="1">
      <c r="F342" s="151" t="s">
        <v>2580</v>
      </c>
    </row>
    <row r="343" spans="1:10" ht="15" customHeight="1">
      <c r="A343" s="133"/>
    </row>
    <row r="344" spans="1:10" ht="15" customHeight="1">
      <c r="A344" s="133"/>
      <c r="F344" s="151" t="s">
        <v>2447</v>
      </c>
    </row>
    <row r="345" spans="1:10" ht="15" customHeight="1">
      <c r="A345" s="133"/>
    </row>
    <row r="346" spans="1:10" ht="15" customHeight="1">
      <c r="A346" s="142"/>
      <c r="B346" s="142"/>
      <c r="C346" s="142"/>
      <c r="D346" s="142"/>
      <c r="E346" s="142"/>
      <c r="F346" s="142"/>
      <c r="G346" s="142"/>
      <c r="J346" s="142"/>
    </row>
    <row r="348" spans="1:10" ht="15" customHeight="1">
      <c r="A348" s="132" t="s">
        <v>2448</v>
      </c>
      <c r="C348" s="135" t="s">
        <v>2666</v>
      </c>
      <c r="D348" s="136"/>
      <c r="E348" s="137"/>
      <c r="G348" s="149" t="s">
        <v>2465</v>
      </c>
      <c r="H348" s="135" t="s">
        <v>2728</v>
      </c>
      <c r="I348" s="136"/>
      <c r="J348" s="137"/>
    </row>
    <row r="350" spans="1:10" ht="15" customHeight="1">
      <c r="A350" s="134" t="s">
        <v>2456</v>
      </c>
      <c r="C350" s="135" t="s">
        <v>2668</v>
      </c>
      <c r="D350" s="136"/>
      <c r="E350" s="136"/>
      <c r="F350" s="137"/>
      <c r="I350" s="149" t="s">
        <v>2464</v>
      </c>
      <c r="J350" s="150">
        <v>1</v>
      </c>
    </row>
    <row r="351" spans="1:10" ht="15" customHeight="1">
      <c r="D351" s="134"/>
    </row>
    <row r="352" spans="1:10" ht="15" customHeight="1">
      <c r="A352" s="132" t="s">
        <v>2459</v>
      </c>
      <c r="D352" s="135" t="s">
        <v>2729</v>
      </c>
      <c r="E352" s="136"/>
      <c r="F352" s="136"/>
      <c r="G352" s="136"/>
      <c r="H352" s="136"/>
      <c r="I352" s="136"/>
      <c r="J352" s="137"/>
    </row>
    <row r="354" spans="1:10" ht="15" customHeight="1">
      <c r="A354" s="134" t="s">
        <v>2460</v>
      </c>
    </row>
    <row r="355" spans="1:10" ht="15" customHeight="1">
      <c r="A355" s="134"/>
    </row>
    <row r="356" spans="1:10" ht="15" customHeight="1">
      <c r="A356" s="130" t="s">
        <v>2730</v>
      </c>
      <c r="B356" s="129"/>
      <c r="C356" s="129"/>
      <c r="D356" s="129"/>
      <c r="E356" s="129"/>
      <c r="F356" s="129"/>
      <c r="G356" s="129"/>
      <c r="H356" s="129"/>
      <c r="I356" s="129"/>
      <c r="J356" s="128"/>
    </row>
    <row r="357" spans="1:10" ht="15" customHeight="1">
      <c r="A357" s="127" t="s">
        <v>2731</v>
      </c>
      <c r="B357" s="143"/>
      <c r="C357" s="143"/>
      <c r="D357" s="143"/>
      <c r="E357" s="143"/>
      <c r="F357" s="143"/>
      <c r="G357" s="143"/>
      <c r="H357" s="143"/>
      <c r="I357" s="143"/>
      <c r="J357" s="144"/>
    </row>
    <row r="358" spans="1:10" ht="15" customHeight="1">
      <c r="A358" s="127"/>
      <c r="B358" s="143"/>
      <c r="C358" s="143"/>
      <c r="D358" s="143"/>
      <c r="E358" s="143"/>
      <c r="F358" s="143"/>
      <c r="G358" s="143"/>
      <c r="H358" s="143"/>
      <c r="I358" s="143"/>
      <c r="J358" s="144"/>
    </row>
    <row r="359" spans="1:10" ht="15" customHeight="1">
      <c r="A359" s="127"/>
      <c r="B359" s="143"/>
      <c r="C359" s="143"/>
      <c r="D359" s="143"/>
      <c r="E359" s="143"/>
      <c r="F359" s="143"/>
      <c r="G359" s="143"/>
      <c r="H359" s="143"/>
      <c r="I359" s="143"/>
      <c r="J359" s="144"/>
    </row>
    <row r="360" spans="1:10" ht="15" customHeight="1">
      <c r="A360" s="127"/>
      <c r="B360" s="143"/>
      <c r="C360" s="143"/>
      <c r="D360" s="143"/>
      <c r="E360" s="143"/>
      <c r="F360" s="143"/>
      <c r="G360" s="143"/>
      <c r="H360" s="143"/>
      <c r="I360" s="143"/>
      <c r="J360" s="144"/>
    </row>
    <row r="361" spans="1:10" ht="15" customHeight="1">
      <c r="A361" s="127"/>
      <c r="B361" s="143"/>
      <c r="C361" s="143"/>
      <c r="D361" s="143"/>
      <c r="E361" s="143"/>
      <c r="F361" s="143"/>
      <c r="G361" s="143"/>
      <c r="H361" s="143"/>
      <c r="I361" s="143"/>
      <c r="J361" s="144"/>
    </row>
    <row r="362" spans="1:10" ht="15" customHeight="1">
      <c r="A362" s="127"/>
      <c r="B362" s="143"/>
      <c r="C362" s="143"/>
      <c r="D362" s="143"/>
      <c r="E362" s="143"/>
      <c r="F362" s="143"/>
      <c r="G362" s="143"/>
      <c r="H362" s="143"/>
      <c r="I362" s="143"/>
      <c r="J362" s="144"/>
    </row>
    <row r="363" spans="1:10" ht="15" customHeight="1">
      <c r="A363" s="127"/>
      <c r="B363" s="143"/>
      <c r="C363" s="143"/>
      <c r="D363" s="143"/>
      <c r="E363" s="143"/>
      <c r="F363" s="143"/>
      <c r="G363" s="143"/>
      <c r="H363" s="143"/>
      <c r="I363" s="143"/>
      <c r="J363" s="144"/>
    </row>
    <row r="364" spans="1:10" ht="15" customHeight="1">
      <c r="A364" s="145"/>
      <c r="B364" s="143"/>
      <c r="C364" s="143"/>
      <c r="D364" s="143"/>
      <c r="E364" s="143"/>
      <c r="F364" s="143"/>
      <c r="G364" s="143"/>
      <c r="H364" s="143"/>
      <c r="I364" s="143"/>
      <c r="J364" s="144"/>
    </row>
    <row r="365" spans="1:10" ht="15" customHeight="1">
      <c r="A365" s="127"/>
      <c r="B365" s="143"/>
      <c r="C365" s="143"/>
      <c r="D365" s="143"/>
      <c r="E365" s="143"/>
      <c r="F365" s="143"/>
      <c r="G365" s="143"/>
      <c r="H365" s="143"/>
      <c r="I365" s="143"/>
      <c r="J365" s="144"/>
    </row>
    <row r="366" spans="1:10" ht="15" customHeight="1">
      <c r="A366" s="146"/>
      <c r="B366" s="147"/>
      <c r="C366" s="147"/>
      <c r="D366" s="147"/>
      <c r="E366" s="147"/>
      <c r="F366" s="147"/>
      <c r="G366" s="147"/>
      <c r="H366" s="147"/>
      <c r="I366" s="147"/>
      <c r="J366" s="148"/>
    </row>
    <row r="368" spans="1:10" ht="15" customHeight="1">
      <c r="F368" s="134"/>
      <c r="G368" s="152" t="s">
        <v>2449</v>
      </c>
      <c r="H368" s="152"/>
      <c r="I368" s="152"/>
      <c r="J368" s="155">
        <v>40000</v>
      </c>
    </row>
    <row r="369" spans="3:10" ht="15" customHeight="1">
      <c r="F369" s="134"/>
      <c r="G369" s="132" t="s">
        <v>2463</v>
      </c>
      <c r="J369" s="139">
        <v>0</v>
      </c>
    </row>
    <row r="370" spans="3:10" ht="15" customHeight="1">
      <c r="F370" s="134"/>
      <c r="G370" s="132" t="s">
        <v>2450</v>
      </c>
      <c r="J370" s="140">
        <v>0</v>
      </c>
    </row>
    <row r="372" spans="3:10" ht="15" customHeight="1">
      <c r="E372" s="1" t="s">
        <v>2451</v>
      </c>
      <c r="F372" s="1" t="s">
        <v>2452</v>
      </c>
      <c r="G372" s="132" t="s">
        <v>2453</v>
      </c>
      <c r="J372" s="1" t="s">
        <v>2454</v>
      </c>
    </row>
    <row r="373" spans="3:10" ht="15" customHeight="1">
      <c r="C373" s="132" t="s">
        <v>2461</v>
      </c>
      <c r="E373" s="150"/>
      <c r="F373" s="150"/>
      <c r="G373" s="138"/>
      <c r="H373" s="141"/>
      <c r="J373" s="139"/>
    </row>
    <row r="374" spans="3:10" ht="15" customHeight="1">
      <c r="C374" s="132" t="s">
        <v>2461</v>
      </c>
      <c r="E374" s="150"/>
      <c r="F374" s="150"/>
      <c r="G374" s="138"/>
      <c r="H374" s="141"/>
      <c r="J374" s="139"/>
    </row>
    <row r="375" spans="3:10" ht="15" customHeight="1">
      <c r="C375" s="132" t="s">
        <v>2461</v>
      </c>
      <c r="E375" s="150"/>
      <c r="F375" s="150"/>
      <c r="G375" s="138"/>
      <c r="H375" s="141"/>
      <c r="J375" s="139"/>
    </row>
    <row r="376" spans="3:10" ht="15" customHeight="1">
      <c r="C376" s="132" t="s">
        <v>2461</v>
      </c>
      <c r="E376" s="150"/>
      <c r="F376" s="150"/>
      <c r="G376" s="138"/>
      <c r="H376" s="141"/>
      <c r="J376" s="139"/>
    </row>
    <row r="377" spans="3:10" ht="15" customHeight="1">
      <c r="C377" s="132" t="s">
        <v>2461</v>
      </c>
      <c r="E377" s="150"/>
      <c r="F377" s="150"/>
      <c r="G377" s="138"/>
      <c r="H377" s="141"/>
      <c r="J377" s="139"/>
    </row>
    <row r="378" spans="3:10" ht="15" customHeight="1">
      <c r="C378" s="132" t="s">
        <v>2461</v>
      </c>
      <c r="E378" s="150"/>
      <c r="F378" s="150"/>
      <c r="G378" s="138"/>
      <c r="H378" s="141"/>
      <c r="J378" s="139"/>
    </row>
    <row r="379" spans="3:10" ht="15" customHeight="1">
      <c r="C379" s="132" t="s">
        <v>2461</v>
      </c>
      <c r="E379" s="150"/>
      <c r="F379" s="150"/>
      <c r="G379" s="138"/>
      <c r="H379" s="141"/>
      <c r="J379" s="139"/>
    </row>
    <row r="380" spans="3:10" ht="15" customHeight="1">
      <c r="C380" s="132" t="s">
        <v>2461</v>
      </c>
      <c r="E380" s="150"/>
      <c r="F380" s="150"/>
      <c r="G380" s="138"/>
      <c r="H380" s="141"/>
      <c r="J380" s="139"/>
    </row>
    <row r="381" spans="3:10" ht="15" customHeight="1">
      <c r="C381" s="132" t="s">
        <v>2461</v>
      </c>
      <c r="E381" s="150"/>
      <c r="F381" s="150"/>
      <c r="G381" s="138"/>
      <c r="H381" s="141"/>
      <c r="J381" s="139"/>
    </row>
    <row r="382" spans="3:10" ht="15" customHeight="1">
      <c r="C382" s="132" t="s">
        <v>2461</v>
      </c>
      <c r="E382" s="150"/>
      <c r="F382" s="150"/>
      <c r="G382" s="138"/>
      <c r="H382" s="141"/>
      <c r="J382" s="139"/>
    </row>
    <row r="383" spans="3:10" ht="15" customHeight="1">
      <c r="C383" s="132" t="s">
        <v>2461</v>
      </c>
      <c r="E383" s="150"/>
      <c r="F383" s="150"/>
      <c r="G383" s="138">
        <v>5427</v>
      </c>
      <c r="H383" s="141"/>
      <c r="J383" s="139">
        <v>40000</v>
      </c>
    </row>
    <row r="384" spans="3:10" ht="15" customHeight="1">
      <c r="C384" s="132" t="s">
        <v>2461</v>
      </c>
      <c r="E384" s="150"/>
      <c r="F384" s="150"/>
      <c r="G384" s="138"/>
      <c r="H384" s="141"/>
      <c r="I384" s="131" t="s">
        <v>2462</v>
      </c>
      <c r="J384" s="139">
        <v>0</v>
      </c>
    </row>
    <row r="385" spans="1:10" ht="15" customHeight="1">
      <c r="E385" s="154"/>
      <c r="F385" s="154"/>
      <c r="G385" s="154"/>
      <c r="H385" s="154"/>
      <c r="I385" s="154"/>
      <c r="J385" s="154"/>
    </row>
    <row r="386" spans="1:10" ht="15" customHeight="1">
      <c r="F386" s="134"/>
      <c r="G386" s="152" t="s">
        <v>2466</v>
      </c>
      <c r="H386" s="152"/>
      <c r="I386" s="152"/>
      <c r="J386" s="153">
        <f>SUM(J373:J384)</f>
        <v>40000</v>
      </c>
    </row>
    <row r="387" spans="1:10" ht="15" customHeight="1">
      <c r="F387" s="134"/>
      <c r="G387" s="152"/>
      <c r="H387" s="152"/>
      <c r="I387" s="152"/>
      <c r="J387" s="157"/>
    </row>
    <row r="388" spans="1:10" ht="15" customHeight="1">
      <c r="F388" s="134"/>
      <c r="G388" s="142" t="s">
        <v>2458</v>
      </c>
      <c r="H388" s="142"/>
      <c r="I388" s="142"/>
      <c r="J388" s="156">
        <f>+J386-J368+J370</f>
        <v>0</v>
      </c>
    </row>
    <row r="394" spans="1:10" ht="15" customHeight="1">
      <c r="F394" s="1"/>
    </row>
    <row r="395" spans="1:10" ht="15" customHeight="1">
      <c r="F395" s="1"/>
    </row>
    <row r="396" spans="1:10" ht="15" customHeight="1">
      <c r="A396" s="134"/>
    </row>
    <row r="397" spans="1:10" ht="15" customHeight="1">
      <c r="A397" s="134"/>
    </row>
    <row r="398" spans="1:10" ht="15" customHeight="1">
      <c r="A398" s="133"/>
    </row>
    <row r="399" spans="1:10" ht="15" customHeight="1">
      <c r="A399" s="133"/>
    </row>
    <row r="400" spans="1:10" ht="15" customHeight="1">
      <c r="F400" s="151" t="s">
        <v>2580</v>
      </c>
    </row>
    <row r="401" spans="1:10" ht="15" customHeight="1">
      <c r="A401" s="133"/>
    </row>
    <row r="402" spans="1:10" ht="15" customHeight="1">
      <c r="A402" s="133"/>
      <c r="F402" s="151" t="s">
        <v>2447</v>
      </c>
    </row>
    <row r="403" spans="1:10" ht="15" customHeight="1">
      <c r="A403" s="133"/>
    </row>
    <row r="404" spans="1:10" ht="15" customHeight="1">
      <c r="A404" s="142"/>
      <c r="B404" s="142"/>
      <c r="C404" s="142"/>
      <c r="D404" s="142"/>
      <c r="E404" s="142"/>
      <c r="F404" s="142"/>
      <c r="G404" s="142"/>
      <c r="J404" s="142"/>
    </row>
    <row r="406" spans="1:10" ht="15" customHeight="1">
      <c r="A406" s="132" t="s">
        <v>2448</v>
      </c>
      <c r="C406" s="135" t="s">
        <v>2719</v>
      </c>
      <c r="D406" s="136"/>
      <c r="E406" s="137"/>
      <c r="G406" s="149" t="s">
        <v>2465</v>
      </c>
      <c r="H406" s="135" t="s">
        <v>2732</v>
      </c>
      <c r="I406" s="136"/>
      <c r="J406" s="137"/>
    </row>
    <row r="408" spans="1:10" ht="15" customHeight="1">
      <c r="A408" s="134" t="s">
        <v>2456</v>
      </c>
      <c r="C408" s="135" t="s">
        <v>2668</v>
      </c>
      <c r="D408" s="136"/>
      <c r="E408" s="136"/>
      <c r="F408" s="137"/>
      <c r="I408" s="149" t="s">
        <v>2464</v>
      </c>
      <c r="J408" s="150">
        <v>1</v>
      </c>
    </row>
    <row r="409" spans="1:10" ht="15" customHeight="1">
      <c r="D409" s="134"/>
    </row>
    <row r="410" spans="1:10" ht="15" customHeight="1">
      <c r="A410" s="132" t="s">
        <v>2459</v>
      </c>
      <c r="D410" s="135" t="s">
        <v>2733</v>
      </c>
      <c r="E410" s="136"/>
      <c r="F410" s="136"/>
      <c r="G410" s="136"/>
      <c r="H410" s="136"/>
      <c r="I410" s="136"/>
      <c r="J410" s="137"/>
    </row>
    <row r="412" spans="1:10" ht="15" customHeight="1">
      <c r="A412" s="134" t="s">
        <v>2460</v>
      </c>
    </row>
    <row r="413" spans="1:10" ht="15" customHeight="1">
      <c r="A413" s="134"/>
    </row>
    <row r="414" spans="1:10" ht="15" customHeight="1">
      <c r="A414" s="130" t="s">
        <v>2734</v>
      </c>
      <c r="B414" s="129"/>
      <c r="C414" s="129"/>
      <c r="D414" s="129"/>
      <c r="E414" s="129"/>
      <c r="F414" s="129"/>
      <c r="G414" s="129"/>
      <c r="H414" s="129"/>
      <c r="I414" s="129"/>
      <c r="J414" s="128"/>
    </row>
    <row r="415" spans="1:10" ht="15" customHeight="1">
      <c r="A415" s="127"/>
      <c r="B415" s="143"/>
      <c r="C415" s="143"/>
      <c r="D415" s="143"/>
      <c r="E415" s="143"/>
      <c r="F415" s="143"/>
      <c r="G415" s="143"/>
      <c r="H415" s="143"/>
      <c r="I415" s="143"/>
      <c r="J415" s="144"/>
    </row>
    <row r="416" spans="1:10" ht="15" customHeight="1">
      <c r="A416" s="127"/>
      <c r="B416" s="143"/>
      <c r="C416" s="143"/>
      <c r="D416" s="143"/>
      <c r="E416" s="143"/>
      <c r="F416" s="143"/>
      <c r="G416" s="143"/>
      <c r="H416" s="143"/>
      <c r="I416" s="143"/>
      <c r="J416" s="144"/>
    </row>
    <row r="417" spans="1:10" ht="15" customHeight="1">
      <c r="A417" s="127"/>
      <c r="B417" s="143"/>
      <c r="C417" s="143"/>
      <c r="D417" s="143"/>
      <c r="E417" s="143"/>
      <c r="F417" s="143"/>
      <c r="G417" s="143"/>
      <c r="H417" s="143"/>
      <c r="I417" s="143"/>
      <c r="J417" s="144"/>
    </row>
    <row r="418" spans="1:10" ht="15" customHeight="1">
      <c r="A418" s="127"/>
      <c r="B418" s="143"/>
      <c r="C418" s="143"/>
      <c r="D418" s="143"/>
      <c r="E418" s="143"/>
      <c r="F418" s="143"/>
      <c r="G418" s="143"/>
      <c r="H418" s="143"/>
      <c r="I418" s="143"/>
      <c r="J418" s="144"/>
    </row>
    <row r="419" spans="1:10" ht="15" customHeight="1">
      <c r="A419" s="127"/>
      <c r="B419" s="143"/>
      <c r="C419" s="143"/>
      <c r="D419" s="143"/>
      <c r="E419" s="143"/>
      <c r="F419" s="143"/>
      <c r="G419" s="143"/>
      <c r="H419" s="143"/>
      <c r="I419" s="143"/>
      <c r="J419" s="144"/>
    </row>
    <row r="420" spans="1:10" ht="15" customHeight="1">
      <c r="A420" s="127"/>
      <c r="B420" s="143"/>
      <c r="C420" s="143"/>
      <c r="D420" s="143"/>
      <c r="E420" s="143"/>
      <c r="F420" s="143"/>
      <c r="G420" s="143"/>
      <c r="H420" s="143"/>
      <c r="I420" s="143"/>
      <c r="J420" s="144"/>
    </row>
    <row r="421" spans="1:10" ht="15" customHeight="1">
      <c r="A421" s="127"/>
      <c r="B421" s="143"/>
      <c r="C421" s="143"/>
      <c r="D421" s="143"/>
      <c r="E421" s="143"/>
      <c r="F421" s="143"/>
      <c r="G421" s="143"/>
      <c r="H421" s="143"/>
      <c r="I421" s="143"/>
      <c r="J421" s="144"/>
    </row>
    <row r="422" spans="1:10" ht="15" customHeight="1">
      <c r="A422" s="145"/>
      <c r="B422" s="143"/>
      <c r="C422" s="143"/>
      <c r="D422" s="143"/>
      <c r="E422" s="143"/>
      <c r="F422" s="143"/>
      <c r="G422" s="143"/>
      <c r="H422" s="143"/>
      <c r="I422" s="143"/>
      <c r="J422" s="144"/>
    </row>
    <row r="423" spans="1:10" ht="15" customHeight="1">
      <c r="A423" s="127"/>
      <c r="B423" s="143"/>
      <c r="C423" s="143"/>
      <c r="D423" s="143"/>
      <c r="E423" s="143"/>
      <c r="F423" s="143"/>
      <c r="G423" s="143"/>
      <c r="H423" s="143"/>
      <c r="I423" s="143"/>
      <c r="J423" s="144"/>
    </row>
    <row r="424" spans="1:10" ht="15" customHeight="1">
      <c r="A424" s="146"/>
      <c r="B424" s="147"/>
      <c r="C424" s="147"/>
      <c r="D424" s="147"/>
      <c r="E424" s="147"/>
      <c r="F424" s="147"/>
      <c r="G424" s="147"/>
      <c r="H424" s="147"/>
      <c r="I424" s="147"/>
      <c r="J424" s="148"/>
    </row>
    <row r="426" spans="1:10" ht="15" customHeight="1">
      <c r="F426" s="134"/>
      <c r="G426" s="152" t="s">
        <v>2449</v>
      </c>
      <c r="H426" s="152"/>
      <c r="I426" s="152"/>
      <c r="J426" s="155">
        <v>4000</v>
      </c>
    </row>
    <row r="427" spans="1:10" ht="15" customHeight="1">
      <c r="F427" s="134"/>
      <c r="G427" s="132" t="s">
        <v>2463</v>
      </c>
      <c r="J427" s="139">
        <v>0</v>
      </c>
    </row>
    <row r="428" spans="1:10" ht="15" customHeight="1">
      <c r="F428" s="134"/>
      <c r="G428" s="132" t="s">
        <v>2450</v>
      </c>
      <c r="J428" s="140">
        <v>0</v>
      </c>
    </row>
    <row r="430" spans="1:10" ht="15" customHeight="1">
      <c r="E430" s="1" t="s">
        <v>2451</v>
      </c>
      <c r="F430" s="1" t="s">
        <v>2452</v>
      </c>
      <c r="G430" s="132" t="s">
        <v>2453</v>
      </c>
      <c r="J430" s="1" t="s">
        <v>2454</v>
      </c>
    </row>
    <row r="431" spans="1:10" ht="15" customHeight="1">
      <c r="C431" s="132" t="s">
        <v>2461</v>
      </c>
      <c r="E431" s="150"/>
      <c r="F431" s="150"/>
      <c r="G431" s="138"/>
      <c r="H431" s="141"/>
      <c r="J431" s="139"/>
    </row>
    <row r="432" spans="1:10" ht="15" customHeight="1">
      <c r="C432" s="132" t="s">
        <v>2461</v>
      </c>
      <c r="E432" s="150"/>
      <c r="F432" s="150"/>
      <c r="G432" s="138"/>
      <c r="H432" s="141"/>
      <c r="J432" s="139"/>
    </row>
    <row r="433" spans="3:10" ht="15" customHeight="1">
      <c r="C433" s="132" t="s">
        <v>2461</v>
      </c>
      <c r="E433" s="150"/>
      <c r="F433" s="150"/>
      <c r="G433" s="138"/>
      <c r="H433" s="141"/>
      <c r="J433" s="139"/>
    </row>
    <row r="434" spans="3:10" ht="15" customHeight="1">
      <c r="C434" s="132" t="s">
        <v>2461</v>
      </c>
      <c r="E434" s="150"/>
      <c r="F434" s="150"/>
      <c r="G434" s="138"/>
      <c r="H434" s="141"/>
      <c r="J434" s="139"/>
    </row>
    <row r="435" spans="3:10" ht="15" customHeight="1">
      <c r="C435" s="132" t="s">
        <v>2461</v>
      </c>
      <c r="E435" s="150"/>
      <c r="F435" s="150"/>
      <c r="G435" s="138"/>
      <c r="H435" s="141"/>
      <c r="J435" s="139"/>
    </row>
    <row r="436" spans="3:10" ht="15" customHeight="1">
      <c r="C436" s="132" t="s">
        <v>2461</v>
      </c>
      <c r="E436" s="150"/>
      <c r="F436" s="150"/>
      <c r="G436" s="138"/>
      <c r="H436" s="141"/>
      <c r="J436" s="139"/>
    </row>
    <row r="437" spans="3:10" ht="15" customHeight="1">
      <c r="C437" s="132" t="s">
        <v>2461</v>
      </c>
      <c r="E437" s="150"/>
      <c r="F437" s="150"/>
      <c r="G437" s="138"/>
      <c r="H437" s="141"/>
      <c r="J437" s="139"/>
    </row>
    <row r="438" spans="3:10" ht="15" customHeight="1">
      <c r="C438" s="132" t="s">
        <v>2461</v>
      </c>
      <c r="E438" s="150"/>
      <c r="F438" s="150"/>
      <c r="G438" s="138"/>
      <c r="H438" s="141"/>
      <c r="J438" s="139"/>
    </row>
    <row r="439" spans="3:10" ht="15" customHeight="1">
      <c r="C439" s="132" t="s">
        <v>2461</v>
      </c>
      <c r="E439" s="150"/>
      <c r="F439" s="150"/>
      <c r="G439" s="138"/>
      <c r="H439" s="141"/>
      <c r="J439" s="139"/>
    </row>
    <row r="440" spans="3:10" ht="15" customHeight="1">
      <c r="C440" s="132" t="s">
        <v>2461</v>
      </c>
      <c r="E440" s="150"/>
      <c r="F440" s="150"/>
      <c r="G440" s="138"/>
      <c r="H440" s="141"/>
      <c r="J440" s="139"/>
    </row>
    <row r="441" spans="3:10" ht="15" customHeight="1">
      <c r="C441" s="132" t="s">
        <v>2461</v>
      </c>
      <c r="E441" s="150"/>
      <c r="F441" s="150"/>
      <c r="G441" s="138">
        <v>5441</v>
      </c>
      <c r="H441" s="141"/>
      <c r="J441" s="139">
        <v>4000</v>
      </c>
    </row>
    <row r="442" spans="3:10" ht="15" customHeight="1">
      <c r="C442" s="132" t="s">
        <v>2461</v>
      </c>
      <c r="E442" s="150"/>
      <c r="F442" s="150"/>
      <c r="G442" s="138"/>
      <c r="H442" s="141"/>
      <c r="I442" s="131" t="s">
        <v>2462</v>
      </c>
      <c r="J442" s="139">
        <v>0</v>
      </c>
    </row>
    <row r="443" spans="3:10" ht="15" customHeight="1">
      <c r="E443" s="154"/>
      <c r="F443" s="154"/>
      <c r="G443" s="154"/>
      <c r="H443" s="154"/>
      <c r="I443" s="154"/>
      <c r="J443" s="154"/>
    </row>
    <row r="444" spans="3:10" ht="15" customHeight="1">
      <c r="F444" s="134"/>
      <c r="G444" s="152" t="s">
        <v>2466</v>
      </c>
      <c r="H444" s="152"/>
      <c r="I444" s="152"/>
      <c r="J444" s="153">
        <f>SUM(J431:J442)</f>
        <v>4000</v>
      </c>
    </row>
    <row r="445" spans="3:10" ht="15" customHeight="1">
      <c r="F445" s="134"/>
      <c r="G445" s="152"/>
      <c r="H445" s="152"/>
      <c r="I445" s="152"/>
      <c r="J445" s="157"/>
    </row>
    <row r="446" spans="3:10" ht="15" customHeight="1">
      <c r="F446" s="134"/>
      <c r="G446" s="142" t="s">
        <v>2458</v>
      </c>
      <c r="H446" s="142"/>
      <c r="I446" s="142"/>
      <c r="J446" s="156">
        <f>+J444-J426+J428</f>
        <v>0</v>
      </c>
    </row>
    <row r="451" spans="1:10" ht="15" customHeight="1">
      <c r="F451" s="1"/>
    </row>
    <row r="452" spans="1:10" ht="15" customHeight="1">
      <c r="F452" s="1"/>
    </row>
    <row r="453" spans="1:10" ht="15" customHeight="1">
      <c r="A453" s="134"/>
    </row>
    <row r="454" spans="1:10" ht="15" customHeight="1">
      <c r="A454" s="134"/>
    </row>
    <row r="455" spans="1:10" ht="15" customHeight="1">
      <c r="A455" s="133"/>
    </row>
    <row r="456" spans="1:10" ht="15" customHeight="1">
      <c r="A456" s="133"/>
    </row>
    <row r="457" spans="1:10" ht="15" customHeight="1">
      <c r="F457" s="151" t="s">
        <v>2580</v>
      </c>
    </row>
    <row r="458" spans="1:10" ht="15" customHeight="1">
      <c r="A458" s="133"/>
    </row>
    <row r="459" spans="1:10" ht="15" customHeight="1">
      <c r="A459" s="133"/>
      <c r="F459" s="151" t="s">
        <v>2447</v>
      </c>
    </row>
    <row r="460" spans="1:10" ht="15" customHeight="1">
      <c r="A460" s="133"/>
    </row>
    <row r="461" spans="1:10" ht="15" customHeight="1">
      <c r="A461" s="142"/>
      <c r="B461" s="142"/>
      <c r="C461" s="142"/>
      <c r="D461" s="142"/>
      <c r="E461" s="142"/>
      <c r="F461" s="142"/>
      <c r="G461" s="142"/>
      <c r="J461" s="142"/>
    </row>
    <row r="463" spans="1:10" ht="15" customHeight="1">
      <c r="A463" s="132" t="s">
        <v>2448</v>
      </c>
      <c r="C463" s="135" t="s">
        <v>2719</v>
      </c>
      <c r="D463" s="136"/>
      <c r="E463" s="137"/>
      <c r="G463" s="149" t="s">
        <v>2465</v>
      </c>
      <c r="H463" s="135" t="s">
        <v>2735</v>
      </c>
      <c r="I463" s="136"/>
      <c r="J463" s="137"/>
    </row>
    <row r="465" spans="1:10" ht="15" customHeight="1">
      <c r="A465" s="134" t="s">
        <v>2456</v>
      </c>
      <c r="C465" s="135" t="s">
        <v>2668</v>
      </c>
      <c r="D465" s="136"/>
      <c r="E465" s="136"/>
      <c r="F465" s="137"/>
      <c r="I465" s="149" t="s">
        <v>2464</v>
      </c>
      <c r="J465" s="150">
        <v>1</v>
      </c>
    </row>
    <row r="466" spans="1:10" ht="15" customHeight="1">
      <c r="D466" s="134"/>
    </row>
    <row r="467" spans="1:10" ht="15" customHeight="1">
      <c r="A467" s="132" t="s">
        <v>2459</v>
      </c>
      <c r="D467" s="135" t="s">
        <v>2709</v>
      </c>
      <c r="E467" s="136"/>
      <c r="F467" s="136"/>
      <c r="G467" s="136"/>
      <c r="H467" s="136"/>
      <c r="I467" s="136"/>
      <c r="J467" s="137"/>
    </row>
    <row r="469" spans="1:10" ht="15" customHeight="1">
      <c r="A469" s="134" t="s">
        <v>2460</v>
      </c>
    </row>
    <row r="470" spans="1:10" ht="15" customHeight="1">
      <c r="A470" s="134"/>
    </row>
    <row r="471" spans="1:10" ht="15" customHeight="1">
      <c r="A471" s="130" t="s">
        <v>2736</v>
      </c>
      <c r="B471" s="129"/>
      <c r="C471" s="129"/>
      <c r="D471" s="129"/>
      <c r="E471" s="129"/>
      <c r="F471" s="129"/>
      <c r="G471" s="129"/>
      <c r="H471" s="129"/>
      <c r="I471" s="129"/>
      <c r="J471" s="128"/>
    </row>
    <row r="472" spans="1:10" ht="15" customHeight="1">
      <c r="A472" s="127"/>
      <c r="B472" s="143"/>
      <c r="C472" s="143"/>
      <c r="D472" s="143"/>
      <c r="E472" s="143"/>
      <c r="F472" s="143"/>
      <c r="G472" s="143"/>
      <c r="H472" s="143"/>
      <c r="I472" s="143"/>
      <c r="J472" s="144"/>
    </row>
    <row r="473" spans="1:10" ht="15" customHeight="1">
      <c r="A473" s="127"/>
      <c r="B473" s="143"/>
      <c r="C473" s="143"/>
      <c r="D473" s="143"/>
      <c r="E473" s="143"/>
      <c r="F473" s="143"/>
      <c r="G473" s="143"/>
      <c r="H473" s="143"/>
      <c r="I473" s="143"/>
      <c r="J473" s="144"/>
    </row>
    <row r="474" spans="1:10" ht="15" customHeight="1">
      <c r="A474" s="127"/>
      <c r="B474" s="143"/>
      <c r="C474" s="143"/>
      <c r="D474" s="143"/>
      <c r="E474" s="143"/>
      <c r="F474" s="143"/>
      <c r="G474" s="143"/>
      <c r="H474" s="143"/>
      <c r="I474" s="143"/>
      <c r="J474" s="144"/>
    </row>
    <row r="475" spans="1:10" ht="15" customHeight="1">
      <c r="A475" s="127"/>
      <c r="B475" s="143"/>
      <c r="C475" s="143"/>
      <c r="D475" s="143"/>
      <c r="E475" s="143"/>
      <c r="F475" s="143"/>
      <c r="G475" s="143"/>
      <c r="H475" s="143"/>
      <c r="I475" s="143"/>
      <c r="J475" s="144"/>
    </row>
    <row r="476" spans="1:10" ht="15" customHeight="1">
      <c r="A476" s="127"/>
      <c r="B476" s="143"/>
      <c r="C476" s="143"/>
      <c r="D476" s="143"/>
      <c r="E476" s="143"/>
      <c r="F476" s="143"/>
      <c r="G476" s="143"/>
      <c r="H476" s="143"/>
      <c r="I476" s="143"/>
      <c r="J476" s="144"/>
    </row>
    <row r="477" spans="1:10" ht="15" customHeight="1">
      <c r="A477" s="127"/>
      <c r="B477" s="143"/>
      <c r="C477" s="143"/>
      <c r="D477" s="143"/>
      <c r="E477" s="143"/>
      <c r="F477" s="143"/>
      <c r="G477" s="143"/>
      <c r="H477" s="143"/>
      <c r="I477" s="143"/>
      <c r="J477" s="144"/>
    </row>
    <row r="478" spans="1:10" ht="15" customHeight="1">
      <c r="A478" s="127"/>
      <c r="B478" s="143"/>
      <c r="C478" s="143"/>
      <c r="D478" s="143"/>
      <c r="E478" s="143"/>
      <c r="F478" s="143"/>
      <c r="G478" s="143"/>
      <c r="H478" s="143"/>
      <c r="I478" s="143"/>
      <c r="J478" s="144"/>
    </row>
    <row r="479" spans="1:10" ht="15" customHeight="1">
      <c r="A479" s="145"/>
      <c r="B479" s="143"/>
      <c r="C479" s="143"/>
      <c r="D479" s="143"/>
      <c r="E479" s="143"/>
      <c r="F479" s="143"/>
      <c r="G479" s="143"/>
      <c r="H479" s="143"/>
      <c r="I479" s="143"/>
      <c r="J479" s="144"/>
    </row>
    <row r="480" spans="1:10" ht="15" customHeight="1">
      <c r="A480" s="127"/>
      <c r="B480" s="143"/>
      <c r="C480" s="143"/>
      <c r="D480" s="143"/>
      <c r="E480" s="143"/>
      <c r="F480" s="143"/>
      <c r="G480" s="143"/>
      <c r="H480" s="143"/>
      <c r="I480" s="143"/>
      <c r="J480" s="144"/>
    </row>
    <row r="481" spans="1:10" ht="15" customHeight="1">
      <c r="A481" s="146"/>
      <c r="B481" s="147"/>
      <c r="C481" s="147"/>
      <c r="D481" s="147"/>
      <c r="E481" s="147"/>
      <c r="F481" s="147"/>
      <c r="G481" s="147"/>
      <c r="H481" s="147"/>
      <c r="I481" s="147"/>
      <c r="J481" s="148"/>
    </row>
    <row r="483" spans="1:10" ht="15" customHeight="1">
      <c r="F483" s="134"/>
      <c r="G483" s="152" t="s">
        <v>2449</v>
      </c>
      <c r="H483" s="152"/>
      <c r="I483" s="152"/>
      <c r="J483" s="155">
        <v>825</v>
      </c>
    </row>
    <row r="484" spans="1:10" ht="15" customHeight="1">
      <c r="F484" s="134"/>
      <c r="G484" s="132" t="s">
        <v>2463</v>
      </c>
      <c r="J484" s="139">
        <v>0</v>
      </c>
    </row>
    <row r="485" spans="1:10" ht="15" customHeight="1">
      <c r="F485" s="134"/>
      <c r="G485" s="132" t="s">
        <v>2450</v>
      </c>
      <c r="J485" s="140">
        <v>0</v>
      </c>
    </row>
    <row r="487" spans="1:10" ht="15" customHeight="1">
      <c r="E487" s="1" t="s">
        <v>2451</v>
      </c>
      <c r="F487" s="1" t="s">
        <v>2452</v>
      </c>
      <c r="G487" s="132" t="s">
        <v>2453</v>
      </c>
      <c r="J487" s="1" t="s">
        <v>2454</v>
      </c>
    </row>
    <row r="488" spans="1:10" ht="15" customHeight="1">
      <c r="C488" s="132" t="s">
        <v>2461</v>
      </c>
      <c r="E488" s="150"/>
      <c r="F488" s="150"/>
      <c r="G488" s="138"/>
      <c r="H488" s="141"/>
      <c r="J488" s="139"/>
    </row>
    <row r="489" spans="1:10" ht="15" customHeight="1">
      <c r="C489" s="132" t="s">
        <v>2461</v>
      </c>
      <c r="E489" s="150"/>
      <c r="F489" s="150"/>
      <c r="G489" s="138"/>
      <c r="H489" s="141"/>
      <c r="J489" s="139"/>
    </row>
    <row r="490" spans="1:10" ht="15" customHeight="1">
      <c r="C490" s="132" t="s">
        <v>2461</v>
      </c>
      <c r="E490" s="150"/>
      <c r="F490" s="150"/>
      <c r="G490" s="138"/>
      <c r="H490" s="141"/>
      <c r="J490" s="139"/>
    </row>
    <row r="491" spans="1:10" ht="15" customHeight="1">
      <c r="C491" s="132" t="s">
        <v>2461</v>
      </c>
      <c r="E491" s="150"/>
      <c r="F491" s="150"/>
      <c r="G491" s="138"/>
      <c r="H491" s="141"/>
      <c r="J491" s="139"/>
    </row>
    <row r="492" spans="1:10" ht="15" customHeight="1">
      <c r="C492" s="132" t="s">
        <v>2461</v>
      </c>
      <c r="E492" s="150"/>
      <c r="F492" s="150"/>
      <c r="G492" s="138"/>
      <c r="H492" s="141"/>
      <c r="J492" s="139"/>
    </row>
    <row r="493" spans="1:10" ht="15" customHeight="1">
      <c r="C493" s="132" t="s">
        <v>2461</v>
      </c>
      <c r="E493" s="150"/>
      <c r="F493" s="150"/>
      <c r="G493" s="138"/>
      <c r="H493" s="141"/>
      <c r="J493" s="139"/>
    </row>
    <row r="494" spans="1:10" ht="15" customHeight="1">
      <c r="C494" s="132" t="s">
        <v>2461</v>
      </c>
      <c r="E494" s="150"/>
      <c r="F494" s="150"/>
      <c r="G494" s="138"/>
      <c r="H494" s="141"/>
      <c r="J494" s="139"/>
    </row>
    <row r="495" spans="1:10" ht="15" customHeight="1">
      <c r="C495" s="132" t="s">
        <v>2461</v>
      </c>
      <c r="E495" s="150"/>
      <c r="F495" s="150"/>
      <c r="G495" s="138"/>
      <c r="H495" s="141"/>
      <c r="J495" s="139"/>
    </row>
    <row r="496" spans="1:10" ht="15" customHeight="1">
      <c r="C496" s="132" t="s">
        <v>2461</v>
      </c>
      <c r="E496" s="150"/>
      <c r="F496" s="150"/>
      <c r="G496" s="138"/>
      <c r="H496" s="141"/>
      <c r="J496" s="139"/>
    </row>
    <row r="497" spans="1:10" ht="15" customHeight="1">
      <c r="C497" s="132" t="s">
        <v>2461</v>
      </c>
      <c r="E497" s="150"/>
      <c r="F497" s="150"/>
      <c r="G497" s="138"/>
      <c r="H497" s="141"/>
      <c r="J497" s="139"/>
    </row>
    <row r="498" spans="1:10" ht="15" customHeight="1">
      <c r="C498" s="132" t="s">
        <v>2461</v>
      </c>
      <c r="E498" s="150"/>
      <c r="F498" s="150"/>
      <c r="G498" s="138">
        <v>5230</v>
      </c>
      <c r="H498" s="141"/>
      <c r="J498" s="139">
        <v>825</v>
      </c>
    </row>
    <row r="499" spans="1:10" ht="15" customHeight="1">
      <c r="C499" s="132" t="s">
        <v>2461</v>
      </c>
      <c r="E499" s="150"/>
      <c r="F499" s="150"/>
      <c r="G499" s="138"/>
      <c r="H499" s="141"/>
      <c r="I499" s="131" t="s">
        <v>2462</v>
      </c>
      <c r="J499" s="139">
        <v>0</v>
      </c>
    </row>
    <row r="500" spans="1:10" ht="15" customHeight="1">
      <c r="E500" s="154"/>
      <c r="F500" s="154"/>
      <c r="G500" s="154"/>
      <c r="H500" s="154"/>
      <c r="I500" s="154"/>
      <c r="J500" s="154"/>
    </row>
    <row r="501" spans="1:10" ht="15" customHeight="1">
      <c r="F501" s="134"/>
      <c r="G501" s="152" t="s">
        <v>2466</v>
      </c>
      <c r="H501" s="152"/>
      <c r="I501" s="152"/>
      <c r="J501" s="153">
        <f>SUM(J488:J499)</f>
        <v>825</v>
      </c>
    </row>
    <row r="502" spans="1:10" ht="15" customHeight="1">
      <c r="F502" s="134"/>
      <c r="G502" s="152"/>
      <c r="H502" s="152"/>
      <c r="I502" s="152"/>
      <c r="J502" s="157"/>
    </row>
    <row r="503" spans="1:10" ht="15" customHeight="1">
      <c r="F503" s="134"/>
      <c r="G503" s="142" t="s">
        <v>2458</v>
      </c>
      <c r="H503" s="142"/>
      <c r="I503" s="142"/>
      <c r="J503" s="156">
        <f>+J501-J483+J485</f>
        <v>0</v>
      </c>
    </row>
    <row r="505" spans="1:10" ht="15" customHeight="1">
      <c r="F505" s="134"/>
      <c r="G505" s="142"/>
      <c r="H505" s="142"/>
      <c r="I505" s="142"/>
      <c r="J505" s="156"/>
    </row>
    <row r="506" spans="1:10" ht="15" customHeight="1">
      <c r="F506" s="134"/>
      <c r="G506" s="142"/>
      <c r="H506" s="142"/>
      <c r="I506" s="142"/>
      <c r="J506" s="156"/>
    </row>
    <row r="508" spans="1:10" ht="15" customHeight="1">
      <c r="F508" s="1"/>
    </row>
    <row r="509" spans="1:10" ht="15" customHeight="1">
      <c r="F509" s="1"/>
    </row>
    <row r="510" spans="1:10" ht="15" customHeight="1">
      <c r="A510" s="134"/>
    </row>
    <row r="511" spans="1:10" ht="15" customHeight="1">
      <c r="A511" s="134"/>
    </row>
    <row r="512" spans="1:10" ht="15" customHeight="1">
      <c r="A512" s="133"/>
    </row>
    <row r="513" spans="1:10" ht="15" customHeight="1">
      <c r="A513" s="133"/>
    </row>
    <row r="514" spans="1:10" ht="15" customHeight="1">
      <c r="F514" s="151" t="s">
        <v>2580</v>
      </c>
    </row>
    <row r="515" spans="1:10" ht="15" customHeight="1">
      <c r="A515" s="133"/>
    </row>
    <row r="516" spans="1:10" ht="15" customHeight="1">
      <c r="A516" s="133"/>
      <c r="F516" s="151" t="s">
        <v>2447</v>
      </c>
    </row>
    <row r="517" spans="1:10" ht="15" customHeight="1">
      <c r="A517" s="133"/>
    </row>
    <row r="518" spans="1:10" ht="15" customHeight="1">
      <c r="A518" s="142"/>
      <c r="B518" s="142"/>
      <c r="C518" s="142"/>
      <c r="D518" s="142"/>
      <c r="E518" s="142"/>
      <c r="F518" s="142"/>
      <c r="G518" s="142"/>
      <c r="J518" s="142"/>
    </row>
    <row r="519" spans="1:10" ht="15" customHeight="1" thickBot="1"/>
    <row r="520" spans="1:10" ht="15" customHeight="1" thickBot="1">
      <c r="A520" s="355" t="s">
        <v>2448</v>
      </c>
      <c r="B520" s="356"/>
      <c r="C520" s="230" t="s">
        <v>2666</v>
      </c>
      <c r="D520" s="231"/>
      <c r="E520" s="232"/>
      <c r="F520" s="229"/>
      <c r="G520" s="229" t="s">
        <v>2465</v>
      </c>
      <c r="H520" s="230" t="s">
        <v>2667</v>
      </c>
      <c r="I520" s="231"/>
      <c r="J520" s="232"/>
    </row>
    <row r="521" spans="1:10" ht="15" customHeight="1" thickBot="1">
      <c r="A521" s="229"/>
      <c r="B521" s="229"/>
      <c r="C521" s="229"/>
      <c r="D521" s="229"/>
      <c r="E521" s="229"/>
      <c r="F521" s="229"/>
      <c r="G521" s="229"/>
      <c r="H521" s="229"/>
      <c r="I521" s="229"/>
      <c r="J521" s="229"/>
    </row>
    <row r="522" spans="1:10" ht="15" customHeight="1" thickBot="1">
      <c r="A522" s="355" t="s">
        <v>2456</v>
      </c>
      <c r="B522" s="356"/>
      <c r="C522" s="358" t="s">
        <v>2668</v>
      </c>
      <c r="D522" s="359"/>
      <c r="E522" s="359"/>
      <c r="F522" s="232"/>
      <c r="G522" s="229"/>
      <c r="H522" s="229"/>
      <c r="I522" s="229" t="s">
        <v>2464</v>
      </c>
      <c r="J522" s="234">
        <v>1</v>
      </c>
    </row>
    <row r="523" spans="1:10" ht="15" customHeight="1" thickBot="1">
      <c r="A523" s="229"/>
      <c r="B523" s="229"/>
      <c r="C523" s="229"/>
      <c r="D523" s="229"/>
      <c r="E523" s="229"/>
      <c r="F523" s="229"/>
      <c r="G523" s="229"/>
      <c r="H523" s="229"/>
      <c r="I523" s="229"/>
      <c r="J523" s="229"/>
    </row>
    <row r="524" spans="1:10" ht="15" customHeight="1" thickBot="1">
      <c r="A524" s="355" t="s">
        <v>2459</v>
      </c>
      <c r="B524" s="355"/>
      <c r="C524" s="229"/>
      <c r="D524" s="358" t="s">
        <v>2669</v>
      </c>
      <c r="E524" s="359"/>
      <c r="F524" s="359"/>
      <c r="G524" s="231"/>
      <c r="H524" s="231"/>
      <c r="I524" s="231"/>
      <c r="J524" s="232"/>
    </row>
    <row r="525" spans="1:10" ht="15" customHeight="1">
      <c r="A525" s="229"/>
      <c r="B525" s="229"/>
      <c r="C525" s="229"/>
      <c r="D525" s="229"/>
      <c r="E525" s="229"/>
      <c r="F525" s="229"/>
      <c r="G525" s="229"/>
      <c r="H525" s="229"/>
      <c r="I525" s="229"/>
      <c r="J525" s="229"/>
    </row>
    <row r="526" spans="1:10" ht="15" customHeight="1">
      <c r="A526" s="355" t="s">
        <v>2460</v>
      </c>
      <c r="B526" s="355"/>
      <c r="C526" s="229"/>
      <c r="D526" s="229"/>
      <c r="E526" s="229"/>
      <c r="F526" s="229"/>
      <c r="G526" s="229"/>
      <c r="H526" s="229"/>
      <c r="I526" s="229"/>
      <c r="J526" s="229"/>
    </row>
    <row r="527" spans="1:10" ht="15" customHeight="1" thickBot="1">
      <c r="A527" s="229"/>
      <c r="B527" s="229"/>
      <c r="C527" s="229"/>
      <c r="D527" s="229"/>
      <c r="E527" s="229"/>
      <c r="F527" s="229"/>
      <c r="G527" s="229"/>
      <c r="H527" s="229"/>
      <c r="I527" s="229"/>
      <c r="J527" s="229"/>
    </row>
    <row r="528" spans="1:10" ht="15" customHeight="1">
      <c r="A528" s="360" t="s">
        <v>2670</v>
      </c>
      <c r="B528" s="361"/>
      <c r="C528" s="361"/>
      <c r="D528" s="361"/>
      <c r="E528" s="361"/>
      <c r="F528" s="361"/>
      <c r="G528" s="361"/>
      <c r="H528" s="361"/>
      <c r="I528" s="235"/>
      <c r="J528" s="236"/>
    </row>
    <row r="529" spans="1:10" ht="15" customHeight="1">
      <c r="A529" s="237"/>
      <c r="B529" s="233"/>
      <c r="C529" s="233"/>
      <c r="D529" s="233"/>
      <c r="E529" s="233"/>
      <c r="F529" s="233"/>
      <c r="G529" s="233"/>
      <c r="H529" s="233"/>
      <c r="I529" s="233"/>
      <c r="J529" s="238"/>
    </row>
    <row r="530" spans="1:10" ht="15" customHeight="1">
      <c r="A530" s="237"/>
      <c r="B530" s="233"/>
      <c r="C530" s="233"/>
      <c r="D530" s="233"/>
      <c r="E530" s="233"/>
      <c r="F530" s="233"/>
      <c r="G530" s="233"/>
      <c r="H530" s="233"/>
      <c r="I530" s="233"/>
      <c r="J530" s="238"/>
    </row>
    <row r="531" spans="1:10" ht="15" customHeight="1">
      <c r="A531" s="237"/>
      <c r="B531" s="233"/>
      <c r="C531" s="233"/>
      <c r="D531" s="233"/>
      <c r="E531" s="233"/>
      <c r="F531" s="233"/>
      <c r="G531" s="233"/>
      <c r="H531" s="233"/>
      <c r="I531" s="233"/>
      <c r="J531" s="238"/>
    </row>
    <row r="532" spans="1:10" ht="15" customHeight="1">
      <c r="A532" s="237"/>
      <c r="B532" s="233"/>
      <c r="C532" s="233"/>
      <c r="D532" s="233"/>
      <c r="E532" s="233"/>
      <c r="F532" s="233"/>
      <c r="G532" s="233"/>
      <c r="H532" s="233"/>
      <c r="I532" s="233"/>
      <c r="J532" s="238"/>
    </row>
    <row r="533" spans="1:10" ht="15" customHeight="1">
      <c r="A533" s="237"/>
      <c r="B533" s="233"/>
      <c r="C533" s="233"/>
      <c r="D533" s="233"/>
      <c r="E533" s="233"/>
      <c r="F533" s="233"/>
      <c r="G533" s="233"/>
      <c r="H533" s="233"/>
      <c r="I533" s="233"/>
      <c r="J533" s="238"/>
    </row>
    <row r="534" spans="1:10" ht="15" customHeight="1">
      <c r="A534" s="237"/>
      <c r="B534" s="233"/>
      <c r="C534" s="233"/>
      <c r="D534" s="233"/>
      <c r="E534" s="233"/>
      <c r="F534" s="233"/>
      <c r="G534" s="233"/>
      <c r="H534" s="233"/>
      <c r="I534" s="233"/>
      <c r="J534" s="238"/>
    </row>
    <row r="535" spans="1:10" ht="15" customHeight="1">
      <c r="A535" s="237"/>
      <c r="B535" s="233"/>
      <c r="C535" s="233"/>
      <c r="D535" s="233"/>
      <c r="E535" s="233"/>
      <c r="F535" s="233"/>
      <c r="G535" s="233"/>
      <c r="H535" s="233"/>
      <c r="I535" s="233"/>
      <c r="J535" s="238"/>
    </row>
    <row r="536" spans="1:10" ht="15" customHeight="1">
      <c r="A536" s="237"/>
      <c r="B536" s="233"/>
      <c r="C536" s="233"/>
      <c r="D536" s="233"/>
      <c r="E536" s="233"/>
      <c r="F536" s="233"/>
      <c r="G536" s="233"/>
      <c r="H536" s="233"/>
      <c r="I536" s="233"/>
      <c r="J536" s="238"/>
    </row>
    <row r="537" spans="1:10" ht="15" customHeight="1">
      <c r="A537" s="237"/>
      <c r="B537" s="233"/>
      <c r="C537" s="233"/>
      <c r="D537" s="233"/>
      <c r="E537" s="233"/>
      <c r="F537" s="233"/>
      <c r="G537" s="233"/>
      <c r="H537" s="233"/>
      <c r="I537" s="233"/>
      <c r="J537" s="238"/>
    </row>
    <row r="538" spans="1:10" ht="15" customHeight="1" thickBot="1">
      <c r="A538" s="239"/>
      <c r="B538" s="240"/>
      <c r="C538" s="240"/>
      <c r="D538" s="240"/>
      <c r="E538" s="240"/>
      <c r="F538" s="240"/>
      <c r="G538" s="240"/>
      <c r="H538" s="240"/>
      <c r="I538" s="240"/>
      <c r="J538" s="241"/>
    </row>
    <row r="539" spans="1:10" ht="15" customHeight="1" thickBot="1">
      <c r="A539" s="229"/>
      <c r="B539" s="229"/>
      <c r="C539" s="229"/>
      <c r="D539" s="229"/>
      <c r="E539" s="229"/>
      <c r="F539" s="229"/>
      <c r="G539" s="229"/>
      <c r="H539" s="229"/>
      <c r="I539" s="229"/>
      <c r="J539" s="229"/>
    </row>
    <row r="540" spans="1:10" ht="15" customHeight="1" thickBot="1">
      <c r="A540" s="229"/>
      <c r="B540" s="229"/>
      <c r="C540" s="229"/>
      <c r="D540" s="229"/>
      <c r="E540" s="229"/>
      <c r="F540" s="229"/>
      <c r="G540" s="357" t="s">
        <v>2449</v>
      </c>
      <c r="H540" s="357"/>
      <c r="I540" s="229"/>
      <c r="J540" s="242">
        <v>1500</v>
      </c>
    </row>
    <row r="541" spans="1:10" ht="15" customHeight="1" thickBot="1">
      <c r="A541" s="229"/>
      <c r="B541" s="229"/>
      <c r="C541" s="229"/>
      <c r="D541" s="229"/>
      <c r="E541" s="229"/>
      <c r="F541" s="229"/>
      <c r="G541" s="355" t="s">
        <v>2463</v>
      </c>
      <c r="H541" s="355"/>
      <c r="I541" s="229"/>
      <c r="J541" s="243"/>
    </row>
    <row r="542" spans="1:10" ht="15" customHeight="1" thickBot="1">
      <c r="A542" s="229"/>
      <c r="B542" s="229"/>
      <c r="C542" s="229"/>
      <c r="D542" s="229"/>
      <c r="E542" s="229"/>
      <c r="F542" s="229"/>
      <c r="G542" s="355" t="s">
        <v>2450</v>
      </c>
      <c r="H542" s="355"/>
      <c r="I542" s="229"/>
      <c r="J542" s="244"/>
    </row>
    <row r="543" spans="1:10" ht="15" customHeight="1">
      <c r="A543" s="229"/>
      <c r="B543" s="229"/>
      <c r="C543" s="229"/>
      <c r="D543" s="229"/>
      <c r="E543" s="229"/>
      <c r="F543" s="229"/>
      <c r="G543" s="229"/>
      <c r="H543" s="229"/>
      <c r="I543" s="229"/>
      <c r="J543" s="229"/>
    </row>
    <row r="544" spans="1:10" ht="15" customHeight="1" thickBot="1">
      <c r="A544" s="229"/>
      <c r="B544" s="229"/>
      <c r="C544" s="229"/>
      <c r="D544" s="229"/>
      <c r="E544" s="229" t="s">
        <v>2451</v>
      </c>
      <c r="F544" s="229" t="s">
        <v>2452</v>
      </c>
      <c r="G544" s="229" t="s">
        <v>2453</v>
      </c>
      <c r="H544" s="229"/>
      <c r="I544" s="229"/>
      <c r="J544" s="229" t="s">
        <v>2454</v>
      </c>
    </row>
    <row r="545" spans="1:10" ht="15" customHeight="1" thickBot="1">
      <c r="A545" s="229"/>
      <c r="B545" s="229"/>
      <c r="C545" s="355" t="s">
        <v>2461</v>
      </c>
      <c r="D545" s="356"/>
      <c r="E545" s="234"/>
      <c r="F545" s="232"/>
      <c r="G545" s="231"/>
      <c r="H545" s="232"/>
      <c r="I545" s="229"/>
      <c r="J545" s="234"/>
    </row>
    <row r="546" spans="1:10" ht="15" customHeight="1" thickBot="1">
      <c r="A546" s="229"/>
      <c r="B546" s="229"/>
      <c r="C546" s="355" t="s">
        <v>2461</v>
      </c>
      <c r="D546" s="356"/>
      <c r="E546" s="243"/>
      <c r="F546" s="241"/>
      <c r="G546" s="240"/>
      <c r="H546" s="241"/>
      <c r="I546" s="229"/>
      <c r="J546" s="243"/>
    </row>
    <row r="547" spans="1:10" ht="15" customHeight="1" thickBot="1">
      <c r="A547" s="229"/>
      <c r="B547" s="229"/>
      <c r="C547" s="355" t="s">
        <v>2461</v>
      </c>
      <c r="D547" s="356"/>
      <c r="E547" s="243"/>
      <c r="F547" s="241"/>
      <c r="G547" s="240"/>
      <c r="H547" s="241"/>
      <c r="I547" s="229"/>
      <c r="J547" s="243"/>
    </row>
    <row r="548" spans="1:10" ht="15" customHeight="1" thickBot="1">
      <c r="A548" s="229"/>
      <c r="B548" s="229"/>
      <c r="C548" s="355" t="s">
        <v>2461</v>
      </c>
      <c r="D548" s="356"/>
      <c r="E548" s="243"/>
      <c r="F548" s="241"/>
      <c r="G548" s="240"/>
      <c r="H548" s="241"/>
      <c r="I548" s="229"/>
      <c r="J548" s="243"/>
    </row>
    <row r="549" spans="1:10" ht="15" customHeight="1" thickBot="1">
      <c r="A549" s="229"/>
      <c r="B549" s="229"/>
      <c r="C549" s="355" t="s">
        <v>2461</v>
      </c>
      <c r="D549" s="356"/>
      <c r="E549" s="243"/>
      <c r="F549" s="241"/>
      <c r="G549" s="240"/>
      <c r="H549" s="241"/>
      <c r="I549" s="229"/>
      <c r="J549" s="243"/>
    </row>
    <row r="550" spans="1:10" ht="15" customHeight="1" thickBot="1">
      <c r="A550" s="229"/>
      <c r="B550" s="229"/>
      <c r="C550" s="355" t="s">
        <v>2461</v>
      </c>
      <c r="D550" s="356"/>
      <c r="E550" s="243"/>
      <c r="F550" s="241"/>
      <c r="G550" s="240"/>
      <c r="H550" s="241"/>
      <c r="I550" s="229"/>
      <c r="J550" s="243"/>
    </row>
    <row r="551" spans="1:10" ht="15" customHeight="1" thickBot="1">
      <c r="A551" s="229"/>
      <c r="B551" s="229"/>
      <c r="C551" s="355" t="s">
        <v>2461</v>
      </c>
      <c r="D551" s="356"/>
      <c r="E551" s="243"/>
      <c r="F551" s="241"/>
      <c r="G551" s="240"/>
      <c r="H551" s="241"/>
      <c r="I551" s="229"/>
      <c r="J551" s="243"/>
    </row>
    <row r="552" spans="1:10" ht="15" customHeight="1" thickBot="1">
      <c r="A552" s="229"/>
      <c r="B552" s="229"/>
      <c r="C552" s="355" t="s">
        <v>2461</v>
      </c>
      <c r="D552" s="356"/>
      <c r="E552" s="243"/>
      <c r="F552" s="241"/>
      <c r="G552" s="240"/>
      <c r="H552" s="241"/>
      <c r="I552" s="229"/>
      <c r="J552" s="243"/>
    </row>
    <row r="553" spans="1:10" ht="15" customHeight="1" thickBot="1">
      <c r="A553" s="229"/>
      <c r="B553" s="229"/>
      <c r="C553" s="355" t="s">
        <v>2461</v>
      </c>
      <c r="D553" s="356"/>
      <c r="E553" s="243"/>
      <c r="F553" s="241"/>
      <c r="G553" s="240"/>
      <c r="H553" s="241"/>
      <c r="I553" s="229"/>
      <c r="J553" s="243"/>
    </row>
    <row r="554" spans="1:10" ht="15" customHeight="1" thickBot="1">
      <c r="A554" s="229"/>
      <c r="B554" s="229"/>
      <c r="C554" s="355" t="s">
        <v>2461</v>
      </c>
      <c r="D554" s="356"/>
      <c r="E554" s="243"/>
      <c r="F554" s="241"/>
      <c r="G554" s="240"/>
      <c r="H554" s="241"/>
      <c r="I554" s="229"/>
      <c r="J554" s="243"/>
    </row>
    <row r="555" spans="1:10" ht="15" customHeight="1" thickBot="1">
      <c r="A555" s="229"/>
      <c r="B555" s="229"/>
      <c r="C555" s="355" t="s">
        <v>2461</v>
      </c>
      <c r="D555" s="356"/>
      <c r="E555" s="243"/>
      <c r="F555" s="241"/>
      <c r="G555" s="240"/>
      <c r="H555" s="241"/>
      <c r="I555" s="229"/>
      <c r="J555" s="243"/>
    </row>
    <row r="556" spans="1:10" ht="15" customHeight="1" thickBot="1">
      <c r="A556" s="229"/>
      <c r="B556" s="229"/>
      <c r="C556" s="355" t="s">
        <v>2461</v>
      </c>
      <c r="D556" s="356"/>
      <c r="E556" s="243"/>
      <c r="F556" s="241"/>
      <c r="G556" s="240">
        <v>5305</v>
      </c>
      <c r="H556" s="241"/>
      <c r="I556" s="245" t="s">
        <v>2462</v>
      </c>
      <c r="J556" s="246">
        <v>1500</v>
      </c>
    </row>
    <row r="557" spans="1:10" ht="15" customHeight="1" thickBot="1">
      <c r="A557" s="229"/>
      <c r="B557" s="229"/>
      <c r="C557" s="229"/>
      <c r="D557" s="229"/>
      <c r="E557" s="229"/>
      <c r="F557" s="229"/>
      <c r="G557" s="229"/>
      <c r="H557" s="229"/>
      <c r="I557" s="229"/>
      <c r="J557" s="229"/>
    </row>
    <row r="558" spans="1:10" ht="15" customHeight="1" thickBot="1">
      <c r="A558" s="229"/>
      <c r="B558" s="229"/>
      <c r="C558" s="229"/>
      <c r="D558" s="229"/>
      <c r="E558" s="229"/>
      <c r="F558" s="229"/>
      <c r="G558" s="357" t="s">
        <v>2466</v>
      </c>
      <c r="H558" s="357"/>
      <c r="I558" s="229"/>
      <c r="J558" s="247">
        <v>1500</v>
      </c>
    </row>
    <row r="559" spans="1:10" ht="15" customHeight="1">
      <c r="A559" s="229"/>
      <c r="B559" s="229"/>
      <c r="C559" s="229"/>
      <c r="D559" s="229"/>
      <c r="E559" s="229"/>
      <c r="F559" s="229"/>
      <c r="G559" s="229"/>
      <c r="H559" s="229"/>
      <c r="I559" s="229"/>
      <c r="J559" s="229"/>
    </row>
    <row r="560" spans="1:10" ht="15" customHeight="1">
      <c r="A560" s="229"/>
      <c r="B560" s="229"/>
      <c r="C560" s="229"/>
      <c r="D560" s="229"/>
      <c r="E560" s="229"/>
      <c r="F560" s="229"/>
      <c r="G560" s="248" t="s">
        <v>2458</v>
      </c>
      <c r="H560" s="229"/>
      <c r="I560" s="229"/>
      <c r="J560" s="249">
        <v>0</v>
      </c>
    </row>
    <row r="561" spans="1:10" ht="15" customHeight="1">
      <c r="A561" s="229"/>
      <c r="B561" s="229"/>
      <c r="C561" s="229"/>
      <c r="D561" s="229"/>
      <c r="E561" s="229"/>
      <c r="F561" s="229"/>
      <c r="G561" s="229"/>
      <c r="H561" s="229"/>
      <c r="I561" s="229"/>
      <c r="J561" s="229"/>
    </row>
    <row r="562" spans="1:10" ht="15" customHeight="1">
      <c r="A562" s="132" t="s">
        <v>2671</v>
      </c>
    </row>
    <row r="563" spans="1:10" ht="15" customHeight="1">
      <c r="F563" s="1"/>
    </row>
    <row r="564" spans="1:10" ht="15" customHeight="1">
      <c r="F564" s="1"/>
    </row>
    <row r="565" spans="1:10" ht="15" customHeight="1">
      <c r="A565" s="134"/>
    </row>
    <row r="566" spans="1:10" ht="15" customHeight="1">
      <c r="A566" s="134"/>
    </row>
    <row r="567" spans="1:10" ht="15" customHeight="1">
      <c r="A567" s="133"/>
    </row>
    <row r="568" spans="1:10" ht="15" customHeight="1">
      <c r="A568" s="133"/>
    </row>
    <row r="569" spans="1:10" ht="15" customHeight="1">
      <c r="F569" s="151" t="s">
        <v>2580</v>
      </c>
    </row>
    <row r="570" spans="1:10" ht="15" customHeight="1">
      <c r="A570" s="133"/>
    </row>
    <row r="571" spans="1:10" ht="15" customHeight="1">
      <c r="A571" s="133"/>
      <c r="F571" s="151" t="s">
        <v>2447</v>
      </c>
    </row>
    <row r="572" spans="1:10" ht="15" customHeight="1">
      <c r="A572" s="133"/>
    </row>
    <row r="573" spans="1:10" ht="15" customHeight="1">
      <c r="A573" s="142"/>
      <c r="B573" s="142"/>
      <c r="C573" s="142"/>
      <c r="D573" s="142"/>
      <c r="E573" s="142"/>
      <c r="F573" s="142"/>
      <c r="G573" s="142"/>
      <c r="J573" s="142"/>
    </row>
    <row r="575" spans="1:10" ht="15" customHeight="1">
      <c r="A575" s="132" t="s">
        <v>2448</v>
      </c>
      <c r="C575" s="135" t="s">
        <v>529</v>
      </c>
      <c r="D575" s="136"/>
      <c r="E575" s="137"/>
      <c r="G575" s="149" t="s">
        <v>2465</v>
      </c>
      <c r="H575" s="135" t="s">
        <v>2672</v>
      </c>
      <c r="I575" s="136"/>
      <c r="J575" s="137"/>
    </row>
    <row r="577" spans="1:10" ht="15" customHeight="1">
      <c r="A577" s="134" t="s">
        <v>2456</v>
      </c>
      <c r="C577" s="135" t="s">
        <v>2457</v>
      </c>
      <c r="D577" s="136"/>
      <c r="E577" s="136"/>
      <c r="F577" s="137"/>
      <c r="I577" s="149" t="s">
        <v>2464</v>
      </c>
      <c r="J577" s="150">
        <v>1</v>
      </c>
    </row>
    <row r="578" spans="1:10" ht="15" customHeight="1">
      <c r="D578" s="134"/>
    </row>
    <row r="579" spans="1:10" ht="15" customHeight="1">
      <c r="A579" s="132" t="s">
        <v>2459</v>
      </c>
      <c r="D579" s="135" t="s">
        <v>2673</v>
      </c>
      <c r="E579" s="136"/>
      <c r="F579" s="136"/>
      <c r="G579" s="136"/>
      <c r="H579" s="136"/>
      <c r="I579" s="136"/>
      <c r="J579" s="137"/>
    </row>
    <row r="581" spans="1:10" ht="15" customHeight="1">
      <c r="A581" s="134" t="s">
        <v>2460</v>
      </c>
    </row>
    <row r="582" spans="1:10" ht="15" customHeight="1">
      <c r="A582" s="134"/>
    </row>
    <row r="583" spans="1:10" ht="15" customHeight="1">
      <c r="A583" s="130" t="s">
        <v>2674</v>
      </c>
      <c r="B583" s="129"/>
      <c r="C583" s="129"/>
      <c r="D583" s="129"/>
      <c r="E583" s="129"/>
      <c r="F583" s="129"/>
      <c r="G583" s="129"/>
      <c r="H583" s="129"/>
      <c r="I583" s="129"/>
      <c r="J583" s="128"/>
    </row>
    <row r="584" spans="1:10" ht="15" customHeight="1">
      <c r="A584" s="127" t="s">
        <v>2675</v>
      </c>
      <c r="B584" s="143"/>
      <c r="C584" s="143"/>
      <c r="D584" s="143"/>
      <c r="E584" s="143"/>
      <c r="F584" s="143"/>
      <c r="G584" s="143"/>
      <c r="H584" s="143"/>
      <c r="I584" s="143"/>
      <c r="J584" s="144"/>
    </row>
    <row r="585" spans="1:10" ht="15" customHeight="1">
      <c r="A585" s="127" t="s">
        <v>2676</v>
      </c>
      <c r="B585" s="143"/>
      <c r="C585" s="143"/>
      <c r="D585" s="143"/>
      <c r="E585" s="143"/>
      <c r="F585" s="143"/>
      <c r="G585" s="143"/>
      <c r="H585" s="143"/>
      <c r="I585" s="143"/>
      <c r="J585" s="144"/>
    </row>
    <row r="586" spans="1:10" ht="15" customHeight="1">
      <c r="A586" s="127" t="s">
        <v>2677</v>
      </c>
      <c r="B586" s="143"/>
      <c r="C586" s="143"/>
      <c r="D586" s="143"/>
      <c r="E586" s="143"/>
      <c r="F586" s="143"/>
      <c r="G586" s="143"/>
      <c r="H586" s="143"/>
      <c r="I586" s="143"/>
      <c r="J586" s="144"/>
    </row>
    <row r="587" spans="1:10" ht="15" customHeight="1">
      <c r="A587" s="127" t="s">
        <v>2678</v>
      </c>
      <c r="B587" s="143"/>
      <c r="C587" s="143"/>
      <c r="D587" s="143"/>
      <c r="E587" s="143"/>
      <c r="F587" s="143"/>
      <c r="G587" s="143"/>
      <c r="H587" s="143"/>
      <c r="I587" s="143"/>
      <c r="J587" s="144"/>
    </row>
    <row r="588" spans="1:10" ht="15" customHeight="1">
      <c r="A588" s="127" t="s">
        <v>2679</v>
      </c>
      <c r="B588" s="143"/>
      <c r="C588" s="143"/>
      <c r="D588" s="143"/>
      <c r="E588" s="143"/>
      <c r="F588" s="143"/>
      <c r="G588" s="143"/>
      <c r="H588" s="143"/>
      <c r="I588" s="143"/>
      <c r="J588" s="144"/>
    </row>
    <row r="589" spans="1:10" ht="15" customHeight="1">
      <c r="A589" s="127" t="s">
        <v>2680</v>
      </c>
      <c r="B589" s="143"/>
      <c r="C589" s="143"/>
      <c r="D589" s="143"/>
      <c r="E589" s="143"/>
      <c r="F589" s="143"/>
      <c r="G589" s="143"/>
      <c r="H589" s="143"/>
      <c r="I589" s="143"/>
      <c r="J589" s="144"/>
    </row>
    <row r="590" spans="1:10" ht="15" customHeight="1">
      <c r="A590" s="127"/>
      <c r="B590" s="143"/>
      <c r="C590" s="143"/>
      <c r="D590" s="143"/>
      <c r="E590" s="143"/>
      <c r="F590" s="143"/>
      <c r="G590" s="143"/>
      <c r="H590" s="143"/>
      <c r="I590" s="143"/>
      <c r="J590" s="144"/>
    </row>
    <row r="591" spans="1:10" ht="15" customHeight="1">
      <c r="A591" s="145"/>
      <c r="B591" s="143"/>
      <c r="C591" s="143"/>
      <c r="D591" s="143"/>
      <c r="E591" s="143"/>
      <c r="F591" s="143"/>
      <c r="G591" s="143"/>
      <c r="H591" s="143"/>
      <c r="I591" s="143"/>
      <c r="J591" s="144"/>
    </row>
    <row r="592" spans="1:10" ht="15" customHeight="1">
      <c r="A592" s="127"/>
      <c r="B592" s="143"/>
      <c r="C592" s="143"/>
      <c r="D592" s="143"/>
      <c r="E592" s="143"/>
      <c r="F592" s="143"/>
      <c r="G592" s="143"/>
      <c r="H592" s="143"/>
      <c r="I592" s="143"/>
      <c r="J592" s="144"/>
    </row>
    <row r="593" spans="1:10" ht="15" customHeight="1">
      <c r="A593" s="146"/>
      <c r="B593" s="147"/>
      <c r="C593" s="147"/>
      <c r="D593" s="147"/>
      <c r="E593" s="147"/>
      <c r="F593" s="147"/>
      <c r="G593" s="147"/>
      <c r="H593" s="147"/>
      <c r="I593" s="147"/>
      <c r="J593" s="148"/>
    </row>
    <row r="595" spans="1:10" ht="15" customHeight="1">
      <c r="F595" s="134"/>
      <c r="G595" s="152" t="s">
        <v>2449</v>
      </c>
      <c r="H595" s="152"/>
      <c r="I595" s="152"/>
      <c r="J595" s="155">
        <v>85200</v>
      </c>
    </row>
    <row r="596" spans="1:10" ht="15" customHeight="1">
      <c r="F596" s="134"/>
      <c r="G596" s="132" t="s">
        <v>2463</v>
      </c>
      <c r="J596" s="139"/>
    </row>
    <row r="597" spans="1:10" ht="15" customHeight="1">
      <c r="F597" s="134"/>
      <c r="G597" s="132" t="s">
        <v>2450</v>
      </c>
      <c r="J597" s="140"/>
    </row>
    <row r="599" spans="1:10" ht="15" customHeight="1">
      <c r="E599" s="1" t="s">
        <v>2451</v>
      </c>
      <c r="F599" s="1" t="s">
        <v>2452</v>
      </c>
      <c r="G599" s="132" t="s">
        <v>2453</v>
      </c>
      <c r="J599" s="1" t="s">
        <v>2454</v>
      </c>
    </row>
    <row r="600" spans="1:10" ht="15" customHeight="1">
      <c r="C600" s="132" t="s">
        <v>2461</v>
      </c>
      <c r="E600" s="150"/>
      <c r="F600" s="150"/>
      <c r="G600" s="138"/>
      <c r="H600" s="141"/>
      <c r="J600" s="139"/>
    </row>
    <row r="601" spans="1:10" ht="15" customHeight="1">
      <c r="C601" s="132" t="s">
        <v>2461</v>
      </c>
      <c r="E601" s="150"/>
      <c r="F601" s="150"/>
      <c r="G601" s="138"/>
      <c r="H601" s="141"/>
      <c r="J601" s="139"/>
    </row>
    <row r="602" spans="1:10" ht="15" customHeight="1">
      <c r="C602" s="132" t="s">
        <v>2461</v>
      </c>
      <c r="E602" s="150"/>
      <c r="F602" s="150"/>
      <c r="G602" s="138"/>
      <c r="H602" s="141"/>
      <c r="J602" s="139"/>
    </row>
    <row r="603" spans="1:10" ht="15" customHeight="1">
      <c r="C603" s="132" t="s">
        <v>2461</v>
      </c>
      <c r="E603" s="150"/>
      <c r="F603" s="150"/>
      <c r="G603" s="138"/>
      <c r="H603" s="141"/>
      <c r="J603" s="139"/>
    </row>
    <row r="604" spans="1:10" ht="15" customHeight="1">
      <c r="C604" s="132" t="s">
        <v>2461</v>
      </c>
      <c r="E604" s="150"/>
      <c r="F604" s="150"/>
      <c r="G604" s="138"/>
      <c r="H604" s="141"/>
      <c r="J604" s="139"/>
    </row>
    <row r="605" spans="1:10" ht="15" customHeight="1">
      <c r="C605" s="132" t="s">
        <v>2461</v>
      </c>
      <c r="E605" s="150"/>
      <c r="F605" s="150"/>
      <c r="G605" s="138"/>
      <c r="H605" s="141"/>
      <c r="J605" s="139"/>
    </row>
    <row r="606" spans="1:10" ht="15" customHeight="1">
      <c r="C606" s="132" t="s">
        <v>2461</v>
      </c>
      <c r="E606" s="150"/>
      <c r="F606" s="150"/>
      <c r="G606" s="138"/>
      <c r="H606" s="141"/>
      <c r="J606" s="139"/>
    </row>
    <row r="607" spans="1:10" ht="15" customHeight="1">
      <c r="C607" s="132" t="s">
        <v>2461</v>
      </c>
      <c r="E607" s="150"/>
      <c r="F607" s="150"/>
      <c r="G607" s="138"/>
      <c r="H607" s="141"/>
      <c r="J607" s="139"/>
    </row>
    <row r="608" spans="1:10" ht="15" customHeight="1">
      <c r="C608" s="132" t="s">
        <v>2461</v>
      </c>
      <c r="E608" s="150"/>
      <c r="F608" s="150"/>
      <c r="G608" s="138"/>
      <c r="H608" s="141"/>
      <c r="J608" s="139"/>
    </row>
    <row r="609" spans="1:10" ht="15" customHeight="1">
      <c r="C609" s="132" t="s">
        <v>2461</v>
      </c>
      <c r="E609" s="150"/>
      <c r="F609" s="150"/>
      <c r="G609" s="138"/>
      <c r="H609" s="141"/>
      <c r="J609" s="139"/>
    </row>
    <row r="610" spans="1:10" ht="15" customHeight="1">
      <c r="C610" s="132" t="s">
        <v>2461</v>
      </c>
      <c r="E610" s="150"/>
      <c r="F610" s="150"/>
      <c r="G610" s="138"/>
      <c r="H610" s="141"/>
      <c r="J610" s="139">
        <v>85200</v>
      </c>
    </row>
    <row r="611" spans="1:10" ht="15" customHeight="1">
      <c r="C611" s="132" t="s">
        <v>2461</v>
      </c>
      <c r="E611" s="150"/>
      <c r="F611" s="150"/>
      <c r="G611" s="138"/>
      <c r="H611" s="141"/>
      <c r="I611" s="131" t="s">
        <v>2462</v>
      </c>
      <c r="J611" s="139">
        <v>0</v>
      </c>
    </row>
    <row r="612" spans="1:10" ht="15" customHeight="1">
      <c r="E612" s="154"/>
      <c r="F612" s="154"/>
      <c r="G612" s="154"/>
      <c r="H612" s="154"/>
      <c r="I612" s="154"/>
      <c r="J612" s="154"/>
    </row>
    <row r="613" spans="1:10" ht="15" customHeight="1">
      <c r="F613" s="134"/>
      <c r="G613" s="152" t="s">
        <v>2466</v>
      </c>
      <c r="H613" s="152"/>
      <c r="I613" s="152"/>
      <c r="J613" s="153">
        <f>SUM(J600:J611)</f>
        <v>85200</v>
      </c>
    </row>
    <row r="614" spans="1:10" ht="15" customHeight="1">
      <c r="F614" s="134"/>
      <c r="G614" s="152"/>
      <c r="H614" s="152"/>
      <c r="I614" s="152"/>
      <c r="J614" s="157"/>
    </row>
    <row r="615" spans="1:10" ht="15" customHeight="1">
      <c r="F615" s="134"/>
      <c r="G615" s="142" t="s">
        <v>2458</v>
      </c>
      <c r="H615" s="142"/>
      <c r="I615" s="142"/>
      <c r="J615" s="156">
        <f>+J613-J595+J597</f>
        <v>0</v>
      </c>
    </row>
    <row r="617" spans="1:10" ht="15" customHeight="1">
      <c r="A617" s="132" t="s">
        <v>2671</v>
      </c>
    </row>
    <row r="618" spans="1:10" ht="15" customHeight="1">
      <c r="F618" s="1"/>
    </row>
    <row r="619" spans="1:10" ht="15" customHeight="1">
      <c r="F619" s="1"/>
    </row>
    <row r="620" spans="1:10" ht="15" customHeight="1">
      <c r="A620" s="134"/>
    </row>
    <row r="621" spans="1:10" ht="15" customHeight="1">
      <c r="A621" s="134"/>
    </row>
    <row r="622" spans="1:10" ht="15" customHeight="1">
      <c r="A622" s="133"/>
    </row>
    <row r="623" spans="1:10" ht="15" customHeight="1">
      <c r="A623" s="133"/>
    </row>
    <row r="624" spans="1:10" ht="15" customHeight="1">
      <c r="F624" s="151" t="s">
        <v>2580</v>
      </c>
    </row>
    <row r="625" spans="1:10" ht="15" customHeight="1">
      <c r="A625" s="133"/>
    </row>
    <row r="626" spans="1:10" ht="15" customHeight="1">
      <c r="A626" s="133"/>
      <c r="F626" s="151" t="s">
        <v>2447</v>
      </c>
    </row>
    <row r="627" spans="1:10" ht="15" customHeight="1">
      <c r="A627" s="133"/>
    </row>
    <row r="628" spans="1:10" ht="15" customHeight="1">
      <c r="A628" s="142"/>
      <c r="B628" s="142"/>
      <c r="C628" s="142"/>
      <c r="D628" s="142"/>
      <c r="E628" s="142"/>
      <c r="F628" s="142"/>
      <c r="G628" s="142"/>
      <c r="J628" s="142"/>
    </row>
    <row r="630" spans="1:10" ht="15" customHeight="1">
      <c r="A630" s="132" t="s">
        <v>2448</v>
      </c>
      <c r="C630" s="135" t="s">
        <v>610</v>
      </c>
      <c r="D630" s="136"/>
      <c r="E630" s="137"/>
      <c r="G630" s="149" t="s">
        <v>2465</v>
      </c>
      <c r="H630" s="135" t="s">
        <v>2681</v>
      </c>
      <c r="I630" s="136"/>
      <c r="J630" s="137"/>
    </row>
    <row r="632" spans="1:10" ht="15" customHeight="1">
      <c r="A632" s="134" t="s">
        <v>2456</v>
      </c>
      <c r="C632" s="135" t="s">
        <v>2457</v>
      </c>
      <c r="D632" s="136"/>
      <c r="E632" s="136"/>
      <c r="F632" s="137"/>
      <c r="I632" s="149" t="s">
        <v>2464</v>
      </c>
      <c r="J632" s="150">
        <v>2</v>
      </c>
    </row>
    <row r="633" spans="1:10" ht="15" customHeight="1">
      <c r="D633" s="134"/>
    </row>
    <row r="634" spans="1:10" ht="15" customHeight="1">
      <c r="A634" s="132" t="s">
        <v>2459</v>
      </c>
      <c r="D634" s="135" t="s">
        <v>2682</v>
      </c>
      <c r="E634" s="136"/>
      <c r="F634" s="136"/>
      <c r="G634" s="136"/>
      <c r="H634" s="136"/>
      <c r="I634" s="136"/>
      <c r="J634" s="137"/>
    </row>
    <row r="636" spans="1:10" ht="15" customHeight="1">
      <c r="A636" s="134" t="s">
        <v>2460</v>
      </c>
    </row>
    <row r="637" spans="1:10" ht="15" customHeight="1">
      <c r="A637" s="134"/>
    </row>
    <row r="638" spans="1:10" ht="15" customHeight="1">
      <c r="A638" s="130" t="s">
        <v>2683</v>
      </c>
      <c r="B638" s="129"/>
      <c r="C638" s="129"/>
      <c r="D638" s="129"/>
      <c r="E638" s="129"/>
      <c r="F638" s="129"/>
      <c r="G638" s="129"/>
      <c r="H638" s="129"/>
      <c r="I638" s="129"/>
      <c r="J638" s="128"/>
    </row>
    <row r="639" spans="1:10" ht="15" customHeight="1">
      <c r="A639" s="127" t="s">
        <v>2684</v>
      </c>
      <c r="B639" s="143"/>
      <c r="C639" s="143"/>
      <c r="D639" s="143"/>
      <c r="E639" s="143"/>
      <c r="F639" s="143"/>
      <c r="G639" s="143"/>
      <c r="H639" s="143"/>
      <c r="I639" s="143"/>
      <c r="J639" s="144"/>
    </row>
    <row r="640" spans="1:10" ht="15" customHeight="1">
      <c r="A640" s="127"/>
      <c r="B640" s="143"/>
      <c r="C640" s="143"/>
      <c r="D640" s="143"/>
      <c r="E640" s="143"/>
      <c r="F640" s="143"/>
      <c r="G640" s="143"/>
      <c r="H640" s="143"/>
      <c r="I640" s="143"/>
      <c r="J640" s="144"/>
    </row>
    <row r="641" spans="1:10" ht="15" customHeight="1">
      <c r="A641" s="127"/>
      <c r="B641" s="143"/>
      <c r="C641" s="143"/>
      <c r="D641" s="143"/>
      <c r="E641" s="143"/>
      <c r="F641" s="143"/>
      <c r="G641" s="143"/>
      <c r="H641" s="143"/>
      <c r="I641" s="143"/>
      <c r="J641" s="144"/>
    </row>
    <row r="642" spans="1:10" ht="15" customHeight="1">
      <c r="A642" s="127"/>
      <c r="B642" s="143"/>
      <c r="C642" s="143"/>
      <c r="D642" s="143"/>
      <c r="E642" s="143"/>
      <c r="F642" s="143"/>
      <c r="G642" s="143"/>
      <c r="H642" s="143"/>
      <c r="I642" s="143"/>
      <c r="J642" s="144"/>
    </row>
    <row r="643" spans="1:10" ht="15" customHeight="1">
      <c r="A643" s="127"/>
      <c r="B643" s="143"/>
      <c r="C643" s="143"/>
      <c r="D643" s="143"/>
      <c r="E643" s="143"/>
      <c r="F643" s="143"/>
      <c r="G643" s="143"/>
      <c r="H643" s="143"/>
      <c r="I643" s="143"/>
      <c r="J643" s="144"/>
    </row>
    <row r="644" spans="1:10" ht="15" customHeight="1">
      <c r="A644" s="127"/>
      <c r="B644" s="143"/>
      <c r="C644" s="143"/>
      <c r="D644" s="143"/>
      <c r="E644" s="143"/>
      <c r="F644" s="143"/>
      <c r="G644" s="143"/>
      <c r="H644" s="143"/>
      <c r="I644" s="143"/>
      <c r="J644" s="144"/>
    </row>
    <row r="645" spans="1:10" ht="15" customHeight="1">
      <c r="A645" s="127"/>
      <c r="B645" s="143"/>
      <c r="C645" s="143"/>
      <c r="D645" s="143"/>
      <c r="E645" s="143"/>
      <c r="F645" s="143"/>
      <c r="G645" s="143"/>
      <c r="H645" s="143"/>
      <c r="I645" s="143"/>
      <c r="J645" s="144"/>
    </row>
    <row r="646" spans="1:10" ht="15" customHeight="1">
      <c r="A646" s="145"/>
      <c r="B646" s="143"/>
      <c r="C646" s="143"/>
      <c r="D646" s="143"/>
      <c r="E646" s="143"/>
      <c r="F646" s="143"/>
      <c r="G646" s="143"/>
      <c r="H646" s="143"/>
      <c r="I646" s="143"/>
      <c r="J646" s="144"/>
    </row>
    <row r="647" spans="1:10" ht="15" customHeight="1">
      <c r="A647" s="127"/>
      <c r="B647" s="143"/>
      <c r="C647" s="143"/>
      <c r="D647" s="143"/>
      <c r="E647" s="143"/>
      <c r="F647" s="143"/>
      <c r="G647" s="143"/>
      <c r="H647" s="143"/>
      <c r="I647" s="143"/>
      <c r="J647" s="144"/>
    </row>
    <row r="648" spans="1:10" ht="15" customHeight="1">
      <c r="A648" s="146"/>
      <c r="B648" s="147"/>
      <c r="C648" s="147"/>
      <c r="D648" s="147"/>
      <c r="E648" s="147"/>
      <c r="F648" s="147"/>
      <c r="G648" s="147"/>
      <c r="H648" s="147"/>
      <c r="I648" s="147"/>
      <c r="J648" s="148"/>
    </row>
    <row r="650" spans="1:10" ht="15" customHeight="1">
      <c r="F650" s="134"/>
      <c r="G650" s="152" t="s">
        <v>2449</v>
      </c>
      <c r="H650" s="152"/>
      <c r="I650" s="152"/>
      <c r="J650" s="155">
        <v>20000</v>
      </c>
    </row>
    <row r="651" spans="1:10" ht="15" customHeight="1">
      <c r="F651" s="134"/>
      <c r="G651" s="132" t="s">
        <v>2463</v>
      </c>
      <c r="J651" s="139">
        <v>5000</v>
      </c>
    </row>
    <row r="652" spans="1:10" ht="15" customHeight="1">
      <c r="F652" s="134"/>
      <c r="G652" s="132" t="s">
        <v>2450</v>
      </c>
      <c r="J652" s="140">
        <v>15000</v>
      </c>
    </row>
    <row r="654" spans="1:10" ht="15" customHeight="1">
      <c r="E654" s="1" t="s">
        <v>2451</v>
      </c>
      <c r="F654" s="1" t="s">
        <v>2452</v>
      </c>
      <c r="G654" s="132" t="s">
        <v>2453</v>
      </c>
      <c r="J654" s="1" t="s">
        <v>2454</v>
      </c>
    </row>
    <row r="655" spans="1:10" ht="15" customHeight="1">
      <c r="C655" s="132" t="s">
        <v>2461</v>
      </c>
      <c r="E655" s="150"/>
      <c r="F655" s="150"/>
      <c r="G655" s="138"/>
      <c r="H655" s="141"/>
      <c r="J655" s="139"/>
    </row>
    <row r="656" spans="1:10" ht="15" customHeight="1">
      <c r="C656" s="132" t="s">
        <v>2461</v>
      </c>
      <c r="E656" s="150"/>
      <c r="F656" s="150"/>
      <c r="G656" s="138"/>
      <c r="H656" s="141"/>
      <c r="J656" s="139"/>
    </row>
    <row r="657" spans="1:10" ht="15" customHeight="1">
      <c r="C657" s="132" t="s">
        <v>2461</v>
      </c>
      <c r="E657" s="150"/>
      <c r="F657" s="150"/>
      <c r="G657" s="138"/>
      <c r="H657" s="141"/>
      <c r="J657" s="139"/>
    </row>
    <row r="658" spans="1:10" ht="15" customHeight="1">
      <c r="C658" s="132" t="s">
        <v>2461</v>
      </c>
      <c r="E658" s="150"/>
      <c r="F658" s="150"/>
      <c r="G658" s="138"/>
      <c r="H658" s="141"/>
      <c r="J658" s="139"/>
    </row>
    <row r="659" spans="1:10" ht="15" customHeight="1">
      <c r="C659" s="132" t="s">
        <v>2461</v>
      </c>
      <c r="E659" s="150"/>
      <c r="F659" s="150"/>
      <c r="G659" s="138"/>
      <c r="H659" s="141"/>
      <c r="J659" s="139"/>
    </row>
    <row r="660" spans="1:10" ht="15" customHeight="1">
      <c r="C660" s="132" t="s">
        <v>2461</v>
      </c>
      <c r="E660" s="150"/>
      <c r="F660" s="150"/>
      <c r="G660" s="138"/>
      <c r="H660" s="141"/>
      <c r="J660" s="139"/>
    </row>
    <row r="661" spans="1:10" ht="15" customHeight="1">
      <c r="C661" s="132" t="s">
        <v>2461</v>
      </c>
      <c r="E661" s="150"/>
      <c r="F661" s="150"/>
      <c r="G661" s="138"/>
      <c r="H661" s="141"/>
      <c r="J661" s="139"/>
    </row>
    <row r="662" spans="1:10" ht="15" customHeight="1">
      <c r="C662" s="132" t="s">
        <v>2461</v>
      </c>
      <c r="E662" s="150"/>
      <c r="F662" s="150"/>
      <c r="G662" s="138"/>
      <c r="H662" s="141"/>
      <c r="J662" s="139"/>
    </row>
    <row r="663" spans="1:10" ht="15" customHeight="1">
      <c r="C663" s="132" t="s">
        <v>2461</v>
      </c>
      <c r="E663" s="150"/>
      <c r="F663" s="150"/>
      <c r="G663" s="138"/>
      <c r="H663" s="141"/>
      <c r="J663" s="139"/>
    </row>
    <row r="664" spans="1:10" ht="15" customHeight="1">
      <c r="C664" s="132" t="s">
        <v>2461</v>
      </c>
      <c r="E664" s="150"/>
      <c r="F664" s="150"/>
      <c r="G664" s="138"/>
      <c r="H664" s="141"/>
      <c r="J664" s="139"/>
    </row>
    <row r="665" spans="1:10" ht="15" customHeight="1">
      <c r="C665" s="132" t="s">
        <v>2461</v>
      </c>
      <c r="E665" s="150"/>
      <c r="F665" s="150"/>
      <c r="G665" s="138">
        <v>5567</v>
      </c>
      <c r="H665" s="141"/>
      <c r="J665" s="139">
        <v>20000</v>
      </c>
    </row>
    <row r="666" spans="1:10" ht="15" customHeight="1">
      <c r="C666" s="132" t="s">
        <v>2461</v>
      </c>
      <c r="E666" s="150"/>
      <c r="F666" s="150"/>
      <c r="G666" s="138" t="s">
        <v>2455</v>
      </c>
      <c r="H666" s="141"/>
      <c r="I666" s="131" t="s">
        <v>2462</v>
      </c>
      <c r="J666" s="139">
        <v>-15000</v>
      </c>
    </row>
    <row r="667" spans="1:10" ht="15" customHeight="1">
      <c r="E667" s="154"/>
      <c r="F667" s="154"/>
      <c r="G667" s="154"/>
      <c r="H667" s="154"/>
      <c r="I667" s="154"/>
      <c r="J667" s="154"/>
    </row>
    <row r="668" spans="1:10" ht="15" customHeight="1">
      <c r="F668" s="134"/>
      <c r="G668" s="152" t="s">
        <v>2466</v>
      </c>
      <c r="H668" s="152"/>
      <c r="I668" s="152"/>
      <c r="J668" s="153">
        <f>SUM(J655:J666)</f>
        <v>5000</v>
      </c>
    </row>
    <row r="669" spans="1:10" ht="15" customHeight="1">
      <c r="F669" s="134"/>
      <c r="G669" s="152"/>
      <c r="H669" s="152"/>
      <c r="I669" s="152"/>
      <c r="J669" s="157"/>
    </row>
    <row r="670" spans="1:10" ht="15" customHeight="1">
      <c r="F670" s="134"/>
      <c r="G670" s="142" t="s">
        <v>2458</v>
      </c>
      <c r="H670" s="142"/>
      <c r="I670" s="142"/>
      <c r="J670" s="156">
        <f>+J668-J650+J652</f>
        <v>0</v>
      </c>
    </row>
    <row r="672" spans="1:10" ht="15" customHeight="1">
      <c r="A672" s="132" t="s">
        <v>2671</v>
      </c>
    </row>
    <row r="673" spans="1:10" ht="15" customHeight="1">
      <c r="F673" s="1"/>
    </row>
    <row r="674" spans="1:10" ht="15" customHeight="1">
      <c r="F674" s="1"/>
    </row>
    <row r="675" spans="1:10" ht="15" customHeight="1">
      <c r="A675" s="134"/>
    </row>
    <row r="676" spans="1:10" ht="15" customHeight="1">
      <c r="A676" s="134"/>
    </row>
    <row r="677" spans="1:10" ht="15" customHeight="1">
      <c r="A677" s="133"/>
    </row>
    <row r="678" spans="1:10" ht="15" customHeight="1">
      <c r="A678" s="133"/>
    </row>
    <row r="679" spans="1:10" ht="15" customHeight="1">
      <c r="F679" s="151" t="s">
        <v>2580</v>
      </c>
    </row>
    <row r="680" spans="1:10" ht="15" customHeight="1">
      <c r="A680" s="133"/>
    </row>
    <row r="681" spans="1:10" ht="15" customHeight="1">
      <c r="A681" s="133"/>
      <c r="F681" s="151" t="s">
        <v>2447</v>
      </c>
    </row>
    <row r="682" spans="1:10" ht="15" customHeight="1">
      <c r="A682" s="133"/>
    </row>
    <row r="683" spans="1:10" ht="15" customHeight="1">
      <c r="A683" s="142"/>
      <c r="B683" s="142"/>
      <c r="C683" s="142"/>
      <c r="D683" s="142"/>
      <c r="E683" s="142"/>
      <c r="F683" s="142"/>
      <c r="G683" s="142"/>
      <c r="J683" s="142"/>
    </row>
    <row r="685" spans="1:10" ht="15" customHeight="1">
      <c r="A685" s="132" t="s">
        <v>2448</v>
      </c>
      <c r="C685" s="135" t="s">
        <v>610</v>
      </c>
      <c r="D685" s="136"/>
      <c r="E685" s="137"/>
      <c r="G685" s="149" t="s">
        <v>2465</v>
      </c>
      <c r="H685" s="135"/>
      <c r="I685" s="136" t="s">
        <v>2681</v>
      </c>
      <c r="J685" s="137"/>
    </row>
    <row r="687" spans="1:10" ht="15" customHeight="1">
      <c r="A687" s="134" t="s">
        <v>2456</v>
      </c>
      <c r="C687" s="135" t="s">
        <v>2457</v>
      </c>
      <c r="D687" s="136"/>
      <c r="E687" s="136"/>
      <c r="F687" s="137"/>
      <c r="I687" s="149" t="s">
        <v>2464</v>
      </c>
      <c r="J687" s="150">
        <v>3</v>
      </c>
    </row>
    <row r="688" spans="1:10" ht="15" customHeight="1">
      <c r="D688" s="134"/>
    </row>
    <row r="689" spans="1:10" ht="15" customHeight="1">
      <c r="A689" s="132" t="s">
        <v>2459</v>
      </c>
      <c r="D689" s="135" t="s">
        <v>2685</v>
      </c>
      <c r="E689" s="136"/>
      <c r="F689" s="136"/>
      <c r="G689" s="136"/>
      <c r="H689" s="136"/>
      <c r="I689" s="136"/>
      <c r="J689" s="137"/>
    </row>
    <row r="691" spans="1:10" ht="15" customHeight="1">
      <c r="A691" s="134" t="s">
        <v>2460</v>
      </c>
    </row>
    <row r="692" spans="1:10" ht="15" customHeight="1">
      <c r="A692" s="134"/>
    </row>
    <row r="693" spans="1:10" ht="15" customHeight="1">
      <c r="A693" s="130" t="s">
        <v>2686</v>
      </c>
      <c r="B693" s="129"/>
      <c r="C693" s="129"/>
      <c r="D693" s="129"/>
      <c r="E693" s="129"/>
      <c r="F693" s="129"/>
      <c r="G693" s="129"/>
      <c r="H693" s="129"/>
      <c r="I693" s="129"/>
      <c r="J693" s="128"/>
    </row>
    <row r="694" spans="1:10" ht="15" customHeight="1">
      <c r="A694" s="127" t="s">
        <v>2687</v>
      </c>
      <c r="B694" s="143"/>
      <c r="C694" s="143"/>
      <c r="D694" s="143"/>
      <c r="E694" s="143"/>
      <c r="F694" s="143"/>
      <c r="G694" s="143"/>
      <c r="H694" s="143"/>
      <c r="I694" s="143"/>
      <c r="J694" s="144"/>
    </row>
    <row r="695" spans="1:10" ht="15" customHeight="1">
      <c r="A695" s="127"/>
      <c r="B695" s="143"/>
      <c r="C695" s="143"/>
      <c r="D695" s="143"/>
      <c r="E695" s="143"/>
      <c r="F695" s="143"/>
      <c r="G695" s="143"/>
      <c r="H695" s="143"/>
      <c r="I695" s="143"/>
      <c r="J695" s="144"/>
    </row>
    <row r="696" spans="1:10" ht="15" customHeight="1">
      <c r="A696" s="127"/>
      <c r="B696" s="143"/>
      <c r="C696" s="143"/>
      <c r="D696" s="143"/>
      <c r="E696" s="143"/>
      <c r="F696" s="143"/>
      <c r="G696" s="143"/>
      <c r="H696" s="143"/>
      <c r="I696" s="143"/>
      <c r="J696" s="144"/>
    </row>
    <row r="697" spans="1:10" ht="15" customHeight="1">
      <c r="A697" s="127"/>
      <c r="B697" s="143"/>
      <c r="C697" s="143"/>
      <c r="D697" s="143"/>
      <c r="E697" s="143"/>
      <c r="F697" s="143"/>
      <c r="G697" s="143"/>
      <c r="H697" s="143"/>
      <c r="I697" s="143"/>
      <c r="J697" s="144"/>
    </row>
    <row r="698" spans="1:10" ht="15" customHeight="1">
      <c r="A698" s="127"/>
      <c r="B698" s="143"/>
      <c r="C698" s="143"/>
      <c r="D698" s="143"/>
      <c r="E698" s="143"/>
      <c r="F698" s="143"/>
      <c r="G698" s="143"/>
      <c r="H698" s="143"/>
      <c r="I698" s="143"/>
      <c r="J698" s="144"/>
    </row>
    <row r="699" spans="1:10" ht="15" customHeight="1">
      <c r="A699" s="127"/>
      <c r="B699" s="143"/>
      <c r="C699" s="143"/>
      <c r="D699" s="143"/>
      <c r="E699" s="143"/>
      <c r="F699" s="143"/>
      <c r="G699" s="143"/>
      <c r="H699" s="143"/>
      <c r="I699" s="143"/>
      <c r="J699" s="144"/>
    </row>
    <row r="700" spans="1:10" ht="15" customHeight="1">
      <c r="A700" s="127"/>
      <c r="B700" s="143"/>
      <c r="C700" s="143"/>
      <c r="D700" s="143"/>
      <c r="E700" s="143"/>
      <c r="F700" s="143"/>
      <c r="G700" s="143"/>
      <c r="H700" s="143"/>
      <c r="I700" s="143"/>
      <c r="J700" s="144"/>
    </row>
    <row r="701" spans="1:10" ht="15" customHeight="1">
      <c r="A701" s="145"/>
      <c r="B701" s="143"/>
      <c r="C701" s="143"/>
      <c r="D701" s="143"/>
      <c r="E701" s="143"/>
      <c r="F701" s="143"/>
      <c r="G701" s="143"/>
      <c r="H701" s="143"/>
      <c r="I701" s="143"/>
      <c r="J701" s="144"/>
    </row>
    <row r="702" spans="1:10" ht="15" customHeight="1">
      <c r="A702" s="127"/>
      <c r="B702" s="143"/>
      <c r="C702" s="143"/>
      <c r="D702" s="143"/>
      <c r="E702" s="143"/>
      <c r="F702" s="143"/>
      <c r="G702" s="143"/>
      <c r="H702" s="143"/>
      <c r="I702" s="143"/>
      <c r="J702" s="144"/>
    </row>
    <row r="703" spans="1:10" ht="15" customHeight="1">
      <c r="A703" s="146"/>
      <c r="B703" s="147"/>
      <c r="C703" s="147"/>
      <c r="D703" s="147"/>
      <c r="E703" s="147"/>
      <c r="F703" s="147"/>
      <c r="G703" s="147"/>
      <c r="H703" s="147"/>
      <c r="I703" s="147"/>
      <c r="J703" s="148"/>
    </row>
    <row r="705" spans="3:10" ht="15" customHeight="1">
      <c r="F705" s="134"/>
      <c r="G705" s="152" t="s">
        <v>2449</v>
      </c>
      <c r="H705" s="152"/>
      <c r="I705" s="152"/>
      <c r="J705" s="155">
        <v>25000</v>
      </c>
    </row>
    <row r="706" spans="3:10" ht="15" customHeight="1">
      <c r="F706" s="134"/>
      <c r="G706" s="132" t="s">
        <v>2463</v>
      </c>
      <c r="J706" s="139">
        <v>5000</v>
      </c>
    </row>
    <row r="707" spans="3:10" ht="15" customHeight="1">
      <c r="F707" s="134"/>
      <c r="G707" s="132" t="s">
        <v>2450</v>
      </c>
      <c r="J707" s="140">
        <v>20000</v>
      </c>
    </row>
    <row r="709" spans="3:10" ht="15" customHeight="1">
      <c r="E709" s="1" t="s">
        <v>2451</v>
      </c>
      <c r="F709" s="1" t="s">
        <v>2452</v>
      </c>
      <c r="G709" s="132" t="s">
        <v>2453</v>
      </c>
      <c r="J709" s="1" t="s">
        <v>2454</v>
      </c>
    </row>
    <row r="710" spans="3:10" ht="15" customHeight="1">
      <c r="C710" s="132" t="s">
        <v>2461</v>
      </c>
      <c r="E710" s="150"/>
      <c r="F710" s="150"/>
      <c r="G710" s="138"/>
      <c r="H710" s="141"/>
      <c r="J710" s="139"/>
    </row>
    <row r="711" spans="3:10" ht="15" customHeight="1">
      <c r="C711" s="132" t="s">
        <v>2461</v>
      </c>
      <c r="E711" s="150"/>
      <c r="F711" s="150"/>
      <c r="G711" s="138"/>
      <c r="H711" s="141"/>
      <c r="J711" s="139"/>
    </row>
    <row r="712" spans="3:10" ht="15" customHeight="1">
      <c r="C712" s="132" t="s">
        <v>2461</v>
      </c>
      <c r="E712" s="150"/>
      <c r="F712" s="150"/>
      <c r="G712" s="138"/>
      <c r="H712" s="141"/>
      <c r="J712" s="139"/>
    </row>
    <row r="713" spans="3:10" ht="15" customHeight="1">
      <c r="C713" s="132" t="s">
        <v>2461</v>
      </c>
      <c r="E713" s="150"/>
      <c r="F713" s="150"/>
      <c r="G713" s="138"/>
      <c r="H713" s="141"/>
      <c r="J713" s="139"/>
    </row>
    <row r="714" spans="3:10" ht="15" customHeight="1">
      <c r="C714" s="132" t="s">
        <v>2461</v>
      </c>
      <c r="E714" s="150"/>
      <c r="F714" s="150"/>
      <c r="G714" s="138"/>
      <c r="H714" s="141"/>
      <c r="J714" s="139"/>
    </row>
    <row r="715" spans="3:10" ht="15" customHeight="1">
      <c r="C715" s="132" t="s">
        <v>2461</v>
      </c>
      <c r="E715" s="150"/>
      <c r="F715" s="150"/>
      <c r="G715" s="138"/>
      <c r="H715" s="141"/>
      <c r="J715" s="139"/>
    </row>
    <row r="716" spans="3:10" ht="15" customHeight="1">
      <c r="C716" s="132" t="s">
        <v>2461</v>
      </c>
      <c r="E716" s="150"/>
      <c r="F716" s="150"/>
      <c r="G716" s="138"/>
      <c r="H716" s="141"/>
      <c r="J716" s="139"/>
    </row>
    <row r="717" spans="3:10" ht="15" customHeight="1">
      <c r="C717" s="132" t="s">
        <v>2461</v>
      </c>
      <c r="E717" s="150"/>
      <c r="F717" s="150"/>
      <c r="G717" s="138"/>
      <c r="H717" s="141"/>
      <c r="J717" s="139"/>
    </row>
    <row r="718" spans="3:10" ht="15" customHeight="1">
      <c r="C718" s="132" t="s">
        <v>2461</v>
      </c>
      <c r="E718" s="150"/>
      <c r="F718" s="150"/>
      <c r="G718" s="138"/>
      <c r="H718" s="141"/>
      <c r="J718" s="139"/>
    </row>
    <row r="719" spans="3:10" ht="15" customHeight="1">
      <c r="C719" s="132" t="s">
        <v>2461</v>
      </c>
      <c r="E719" s="150"/>
      <c r="F719" s="150"/>
      <c r="G719" s="138"/>
      <c r="H719" s="141"/>
      <c r="J719" s="139"/>
    </row>
    <row r="720" spans="3:10" ht="15" customHeight="1">
      <c r="C720" s="132" t="s">
        <v>2461</v>
      </c>
      <c r="E720" s="150"/>
      <c r="F720" s="150"/>
      <c r="G720" s="138">
        <v>5567</v>
      </c>
      <c r="H720" s="141"/>
      <c r="J720" s="139">
        <v>20000</v>
      </c>
    </row>
    <row r="721" spans="1:10" ht="15" customHeight="1">
      <c r="C721" s="132" t="s">
        <v>2461</v>
      </c>
      <c r="E721" s="150"/>
      <c r="F721" s="150"/>
      <c r="G721" s="138" t="s">
        <v>2455</v>
      </c>
      <c r="H721" s="141"/>
      <c r="I721" s="131" t="s">
        <v>2462</v>
      </c>
      <c r="J721" s="139">
        <v>-15000</v>
      </c>
    </row>
    <row r="722" spans="1:10" ht="15" customHeight="1">
      <c r="E722" s="154"/>
      <c r="F722" s="154"/>
      <c r="G722" s="154"/>
      <c r="H722" s="154"/>
      <c r="I722" s="154"/>
      <c r="J722" s="154"/>
    </row>
    <row r="723" spans="1:10" ht="15" customHeight="1">
      <c r="F723" s="134"/>
      <c r="G723" s="152" t="s">
        <v>2466</v>
      </c>
      <c r="H723" s="152"/>
      <c r="I723" s="152"/>
      <c r="J723" s="153">
        <f>SUM(J710:J721)</f>
        <v>5000</v>
      </c>
    </row>
    <row r="724" spans="1:10" ht="15" customHeight="1">
      <c r="F724" s="134"/>
      <c r="G724" s="152"/>
      <c r="H724" s="152"/>
      <c r="I724" s="152"/>
      <c r="J724" s="157"/>
    </row>
    <row r="725" spans="1:10" ht="15" customHeight="1">
      <c r="F725" s="134"/>
      <c r="G725" s="142" t="s">
        <v>2458</v>
      </c>
      <c r="H725" s="142"/>
      <c r="I725" s="142"/>
      <c r="J725" s="156">
        <f>+J723-J705+J707</f>
        <v>0</v>
      </c>
    </row>
    <row r="727" spans="1:10" ht="15" customHeight="1">
      <c r="A727" s="132" t="s">
        <v>2671</v>
      </c>
    </row>
    <row r="728" spans="1:10" ht="15" customHeight="1">
      <c r="F728" s="1"/>
    </row>
    <row r="729" spans="1:10" ht="15" customHeight="1">
      <c r="F729" s="1"/>
    </row>
    <row r="730" spans="1:10" ht="15" customHeight="1">
      <c r="A730" s="134"/>
    </row>
    <row r="731" spans="1:10" ht="15" customHeight="1">
      <c r="A731" s="134"/>
    </row>
    <row r="732" spans="1:10" ht="15" customHeight="1">
      <c r="A732" s="133"/>
    </row>
    <row r="733" spans="1:10" ht="15" customHeight="1">
      <c r="A733" s="133"/>
    </row>
    <row r="734" spans="1:10" ht="15" customHeight="1">
      <c r="F734" s="151" t="s">
        <v>2580</v>
      </c>
    </row>
    <row r="735" spans="1:10" ht="15" customHeight="1">
      <c r="A735" s="133"/>
    </row>
    <row r="736" spans="1:10" ht="15" customHeight="1">
      <c r="A736" s="133"/>
      <c r="F736" s="151" t="s">
        <v>2447</v>
      </c>
    </row>
    <row r="737" spans="1:10" ht="15" customHeight="1">
      <c r="A737" s="133"/>
    </row>
    <row r="738" spans="1:10" ht="15" customHeight="1">
      <c r="A738" s="142"/>
      <c r="B738" s="142"/>
      <c r="C738" s="142"/>
      <c r="D738" s="142"/>
      <c r="E738" s="142"/>
      <c r="F738" s="142"/>
      <c r="G738" s="142"/>
      <c r="J738" s="142"/>
    </row>
    <row r="740" spans="1:10" ht="15" customHeight="1">
      <c r="A740" s="132" t="s">
        <v>2448</v>
      </c>
      <c r="C740" s="135" t="s">
        <v>612</v>
      </c>
      <c r="D740" s="136"/>
      <c r="E740" s="137"/>
      <c r="G740" s="149" t="s">
        <v>2465</v>
      </c>
      <c r="H740" s="135" t="s">
        <v>2688</v>
      </c>
      <c r="I740" s="136"/>
      <c r="J740" s="137"/>
    </row>
    <row r="742" spans="1:10" ht="15" customHeight="1">
      <c r="A742" s="134" t="s">
        <v>2456</v>
      </c>
      <c r="C742" s="135" t="s">
        <v>2457</v>
      </c>
      <c r="D742" s="136"/>
      <c r="E742" s="136"/>
      <c r="F742" s="137"/>
      <c r="I742" s="149" t="s">
        <v>2464</v>
      </c>
      <c r="J742" s="150">
        <v>4</v>
      </c>
    </row>
    <row r="743" spans="1:10" ht="15" customHeight="1">
      <c r="D743" s="134"/>
    </row>
    <row r="744" spans="1:10" ht="15" customHeight="1">
      <c r="A744" s="132" t="s">
        <v>2459</v>
      </c>
      <c r="D744" s="135" t="s">
        <v>2689</v>
      </c>
      <c r="E744" s="136"/>
      <c r="F744" s="136"/>
      <c r="G744" s="136"/>
      <c r="H744" s="136"/>
      <c r="I744" s="136"/>
      <c r="J744" s="137"/>
    </row>
    <row r="746" spans="1:10" ht="15" customHeight="1">
      <c r="A746" s="134" t="s">
        <v>2460</v>
      </c>
    </row>
    <row r="747" spans="1:10" ht="15" customHeight="1">
      <c r="A747" s="134"/>
    </row>
    <row r="748" spans="1:10" ht="15" customHeight="1">
      <c r="A748" s="130" t="s">
        <v>2690</v>
      </c>
      <c r="B748" s="129"/>
      <c r="C748" s="129"/>
      <c r="D748" s="129"/>
      <c r="E748" s="129"/>
      <c r="F748" s="129"/>
      <c r="G748" s="129"/>
      <c r="H748" s="129"/>
      <c r="I748" s="129"/>
      <c r="J748" s="128"/>
    </row>
    <row r="749" spans="1:10" ht="15" customHeight="1">
      <c r="A749" s="127"/>
      <c r="B749" s="143"/>
      <c r="C749" s="143"/>
      <c r="D749" s="143"/>
      <c r="E749" s="143"/>
      <c r="F749" s="143"/>
      <c r="G749" s="143"/>
      <c r="H749" s="143"/>
      <c r="I749" s="143"/>
      <c r="J749" s="144"/>
    </row>
    <row r="750" spans="1:10" ht="15" customHeight="1">
      <c r="A750" s="127"/>
      <c r="B750" s="143"/>
      <c r="C750" s="143"/>
      <c r="D750" s="143"/>
      <c r="E750" s="143"/>
      <c r="F750" s="143"/>
      <c r="G750" s="143"/>
      <c r="H750" s="143"/>
      <c r="I750" s="143"/>
      <c r="J750" s="144"/>
    </row>
    <row r="751" spans="1:10" ht="15" customHeight="1">
      <c r="A751" s="127"/>
      <c r="B751" s="143"/>
      <c r="C751" s="143"/>
      <c r="D751" s="143"/>
      <c r="E751" s="143"/>
      <c r="F751" s="143"/>
      <c r="G751" s="143"/>
      <c r="H751" s="143"/>
      <c r="I751" s="143"/>
      <c r="J751" s="144"/>
    </row>
    <row r="752" spans="1:10" ht="15" customHeight="1">
      <c r="A752" s="127"/>
      <c r="B752" s="143"/>
      <c r="C752" s="143"/>
      <c r="D752" s="143"/>
      <c r="E752" s="143"/>
      <c r="F752" s="143"/>
      <c r="G752" s="143"/>
      <c r="H752" s="143"/>
      <c r="I752" s="143"/>
      <c r="J752" s="144"/>
    </row>
    <row r="753" spans="1:10" ht="15" customHeight="1">
      <c r="A753" s="127"/>
      <c r="B753" s="143"/>
      <c r="C753" s="143"/>
      <c r="D753" s="143"/>
      <c r="E753" s="143"/>
      <c r="F753" s="143"/>
      <c r="G753" s="143"/>
      <c r="H753" s="143"/>
      <c r="I753" s="143"/>
      <c r="J753" s="144"/>
    </row>
    <row r="754" spans="1:10" ht="15" customHeight="1">
      <c r="A754" s="127"/>
      <c r="B754" s="143"/>
      <c r="C754" s="143"/>
      <c r="D754" s="143"/>
      <c r="E754" s="143"/>
      <c r="F754" s="143"/>
      <c r="G754" s="143"/>
      <c r="H754" s="143"/>
      <c r="I754" s="143"/>
      <c r="J754" s="144"/>
    </row>
    <row r="755" spans="1:10" ht="15" customHeight="1">
      <c r="A755" s="127"/>
      <c r="B755" s="143"/>
      <c r="C755" s="143"/>
      <c r="D755" s="143"/>
      <c r="E755" s="143"/>
      <c r="F755" s="143"/>
      <c r="G755" s="143"/>
      <c r="H755" s="143"/>
      <c r="I755" s="143"/>
      <c r="J755" s="144"/>
    </row>
    <row r="756" spans="1:10" ht="15" customHeight="1">
      <c r="A756" s="145"/>
      <c r="B756" s="143"/>
      <c r="C756" s="143"/>
      <c r="D756" s="143"/>
      <c r="E756" s="143"/>
      <c r="F756" s="143"/>
      <c r="G756" s="143"/>
      <c r="H756" s="143"/>
      <c r="I756" s="143"/>
      <c r="J756" s="144"/>
    </row>
    <row r="757" spans="1:10" ht="15" customHeight="1">
      <c r="A757" s="127"/>
      <c r="B757" s="143"/>
      <c r="C757" s="143"/>
      <c r="D757" s="143"/>
      <c r="E757" s="143"/>
      <c r="F757" s="143"/>
      <c r="G757" s="143"/>
      <c r="H757" s="143"/>
      <c r="I757" s="143"/>
      <c r="J757" s="144"/>
    </row>
    <row r="758" spans="1:10" ht="15" customHeight="1">
      <c r="A758" s="146"/>
      <c r="B758" s="147"/>
      <c r="C758" s="147"/>
      <c r="D758" s="147"/>
      <c r="E758" s="147"/>
      <c r="F758" s="147"/>
      <c r="G758" s="147"/>
      <c r="H758" s="147"/>
      <c r="I758" s="147"/>
      <c r="J758" s="148"/>
    </row>
    <row r="760" spans="1:10" ht="15" customHeight="1">
      <c r="F760" s="134"/>
      <c r="G760" s="152" t="s">
        <v>2449</v>
      </c>
      <c r="H760" s="152"/>
      <c r="I760" s="152"/>
      <c r="J760" s="155">
        <v>6500</v>
      </c>
    </row>
    <row r="761" spans="1:10" ht="15" customHeight="1">
      <c r="F761" s="134"/>
      <c r="G761" s="132" t="s">
        <v>2463</v>
      </c>
      <c r="J761" s="139">
        <v>0</v>
      </c>
    </row>
    <row r="762" spans="1:10" ht="15" customHeight="1">
      <c r="F762" s="134"/>
      <c r="G762" s="132" t="s">
        <v>2450</v>
      </c>
      <c r="J762" s="140">
        <v>0</v>
      </c>
    </row>
    <row r="764" spans="1:10" ht="15" customHeight="1">
      <c r="E764" s="1" t="s">
        <v>2451</v>
      </c>
      <c r="F764" s="1" t="s">
        <v>2452</v>
      </c>
      <c r="G764" s="132" t="s">
        <v>2453</v>
      </c>
      <c r="J764" s="1" t="s">
        <v>2454</v>
      </c>
    </row>
    <row r="765" spans="1:10" ht="15" customHeight="1">
      <c r="C765" s="132" t="s">
        <v>2461</v>
      </c>
      <c r="E765" s="150"/>
      <c r="F765" s="150"/>
      <c r="G765" s="138"/>
      <c r="H765" s="141"/>
      <c r="J765" s="139"/>
    </row>
    <row r="766" spans="1:10" ht="15" customHeight="1">
      <c r="C766" s="132" t="s">
        <v>2461</v>
      </c>
      <c r="E766" s="150"/>
      <c r="F766" s="150"/>
      <c r="G766" s="138"/>
      <c r="H766" s="141"/>
      <c r="J766" s="139"/>
    </row>
    <row r="767" spans="1:10" ht="15" customHeight="1">
      <c r="C767" s="132" t="s">
        <v>2461</v>
      </c>
      <c r="E767" s="150"/>
      <c r="F767" s="150"/>
      <c r="G767" s="138"/>
      <c r="H767" s="141"/>
      <c r="J767" s="139"/>
    </row>
    <row r="768" spans="1:10" ht="15" customHeight="1">
      <c r="C768" s="132" t="s">
        <v>2461</v>
      </c>
      <c r="E768" s="150"/>
      <c r="F768" s="150"/>
      <c r="G768" s="138"/>
      <c r="H768" s="141"/>
      <c r="J768" s="139"/>
    </row>
    <row r="769" spans="3:10" ht="15" customHeight="1">
      <c r="C769" s="132" t="s">
        <v>2461</v>
      </c>
      <c r="E769" s="150"/>
      <c r="F769" s="150"/>
      <c r="G769" s="138"/>
      <c r="H769" s="141"/>
      <c r="J769" s="139"/>
    </row>
    <row r="770" spans="3:10" ht="15" customHeight="1">
      <c r="C770" s="132" t="s">
        <v>2461</v>
      </c>
      <c r="E770" s="150"/>
      <c r="F770" s="150"/>
      <c r="G770" s="138"/>
      <c r="H770" s="141"/>
      <c r="J770" s="139"/>
    </row>
    <row r="771" spans="3:10" ht="15" customHeight="1">
      <c r="C771" s="132" t="s">
        <v>2461</v>
      </c>
      <c r="E771" s="150"/>
      <c r="F771" s="150"/>
      <c r="G771" s="138"/>
      <c r="H771" s="141"/>
      <c r="J771" s="139"/>
    </row>
    <row r="772" spans="3:10" ht="15" customHeight="1">
      <c r="C772" s="132" t="s">
        <v>2461</v>
      </c>
      <c r="E772" s="150"/>
      <c r="F772" s="150"/>
      <c r="G772" s="138"/>
      <c r="H772" s="141"/>
      <c r="J772" s="139"/>
    </row>
    <row r="773" spans="3:10" ht="15" customHeight="1">
      <c r="C773" s="132" t="s">
        <v>2461</v>
      </c>
      <c r="E773" s="150"/>
      <c r="F773" s="150"/>
      <c r="G773" s="138"/>
      <c r="H773" s="141"/>
      <c r="J773" s="139"/>
    </row>
    <row r="774" spans="3:10" ht="15" customHeight="1">
      <c r="C774" s="132" t="s">
        <v>2461</v>
      </c>
      <c r="E774" s="150"/>
      <c r="F774" s="150"/>
      <c r="G774" s="138"/>
      <c r="H774" s="141"/>
      <c r="J774" s="139"/>
    </row>
    <row r="775" spans="3:10" ht="15" customHeight="1">
      <c r="C775" s="132" t="s">
        <v>2461</v>
      </c>
      <c r="E775" s="150"/>
      <c r="F775" s="150"/>
      <c r="G775" s="138">
        <v>5567</v>
      </c>
      <c r="H775" s="141"/>
      <c r="J775" s="139">
        <v>6500</v>
      </c>
    </row>
    <row r="776" spans="3:10" ht="15" customHeight="1">
      <c r="C776" s="132" t="s">
        <v>2461</v>
      </c>
      <c r="E776" s="150"/>
      <c r="F776" s="150"/>
      <c r="G776" s="138"/>
      <c r="H776" s="141"/>
      <c r="I776" s="131" t="s">
        <v>2462</v>
      </c>
      <c r="J776" s="139">
        <v>0</v>
      </c>
    </row>
    <row r="777" spans="3:10" ht="15" customHeight="1">
      <c r="E777" s="154"/>
      <c r="F777" s="154"/>
      <c r="G777" s="154"/>
      <c r="H777" s="154"/>
      <c r="I777" s="154"/>
      <c r="J777" s="154"/>
    </row>
    <row r="778" spans="3:10" ht="15" customHeight="1">
      <c r="F778" s="134"/>
      <c r="G778" s="152" t="s">
        <v>2466</v>
      </c>
      <c r="H778" s="152"/>
      <c r="I778" s="152"/>
      <c r="J778" s="153">
        <f>SUM(J765:J776)</f>
        <v>6500</v>
      </c>
    </row>
    <row r="779" spans="3:10" ht="15" customHeight="1">
      <c r="F779" s="134"/>
      <c r="G779" s="152"/>
      <c r="H779" s="152"/>
      <c r="I779" s="152"/>
      <c r="J779" s="157"/>
    </row>
    <row r="780" spans="3:10" ht="15" customHeight="1">
      <c r="F780" s="134"/>
      <c r="G780" s="142" t="s">
        <v>2458</v>
      </c>
      <c r="H780" s="142"/>
      <c r="I780" s="142"/>
      <c r="J780" s="156">
        <f>+J778-J760+J762</f>
        <v>0</v>
      </c>
    </row>
    <row r="783" spans="3:10" ht="15" customHeight="1">
      <c r="F783" s="1"/>
    </row>
    <row r="784" spans="3:10" ht="15" customHeight="1">
      <c r="F784" s="1"/>
    </row>
    <row r="785" spans="1:10" ht="15" customHeight="1">
      <c r="A785" s="134"/>
    </row>
    <row r="786" spans="1:10" ht="15" customHeight="1">
      <c r="A786" s="134"/>
    </row>
    <row r="787" spans="1:10" ht="15" customHeight="1">
      <c r="A787" s="133"/>
    </row>
    <row r="788" spans="1:10" ht="15" customHeight="1">
      <c r="A788" s="133"/>
    </row>
    <row r="789" spans="1:10" ht="15" customHeight="1">
      <c r="F789" s="151" t="s">
        <v>2580</v>
      </c>
    </row>
    <row r="790" spans="1:10" ht="15" customHeight="1">
      <c r="A790" s="133"/>
    </row>
    <row r="791" spans="1:10" ht="15" customHeight="1">
      <c r="A791" s="133"/>
      <c r="F791" s="151" t="s">
        <v>2447</v>
      </c>
    </row>
    <row r="792" spans="1:10" ht="15" customHeight="1">
      <c r="A792" s="133"/>
    </row>
    <row r="793" spans="1:10" ht="15" customHeight="1">
      <c r="A793" s="142"/>
      <c r="B793" s="142"/>
      <c r="C793" s="142"/>
      <c r="D793" s="142"/>
      <c r="E793" s="142"/>
      <c r="F793" s="142"/>
      <c r="G793" s="142"/>
      <c r="J793" s="142"/>
    </row>
    <row r="795" spans="1:10" ht="15" customHeight="1">
      <c r="A795" s="132" t="s">
        <v>2448</v>
      </c>
      <c r="C795" s="135" t="s">
        <v>2666</v>
      </c>
      <c r="D795" s="136"/>
      <c r="E795" s="137"/>
      <c r="G795" s="149" t="s">
        <v>2465</v>
      </c>
      <c r="H795" s="135" t="s">
        <v>2826</v>
      </c>
      <c r="I795" s="136"/>
      <c r="J795" s="137"/>
    </row>
    <row r="797" spans="1:10" ht="15" customHeight="1">
      <c r="A797" s="134" t="s">
        <v>2456</v>
      </c>
      <c r="C797" s="135" t="s">
        <v>2457</v>
      </c>
      <c r="D797" s="136"/>
      <c r="E797" s="136"/>
      <c r="F797" s="137"/>
      <c r="I797" s="149" t="s">
        <v>2464</v>
      </c>
      <c r="J797" s="150">
        <v>3</v>
      </c>
    </row>
    <row r="798" spans="1:10" ht="15" customHeight="1">
      <c r="D798" s="134"/>
    </row>
    <row r="799" spans="1:10" ht="15" customHeight="1">
      <c r="A799" s="132" t="s">
        <v>2459</v>
      </c>
      <c r="D799" s="135" t="s">
        <v>2827</v>
      </c>
      <c r="E799" s="136"/>
      <c r="F799" s="136"/>
      <c r="G799" s="136"/>
      <c r="H799" s="136"/>
      <c r="I799" s="136"/>
      <c r="J799" s="137"/>
    </row>
    <row r="801" spans="1:10" ht="15" customHeight="1">
      <c r="A801" s="134" t="s">
        <v>2460</v>
      </c>
    </row>
    <row r="802" spans="1:10" ht="15" customHeight="1">
      <c r="A802" s="134"/>
    </row>
    <row r="803" spans="1:10" ht="15" customHeight="1">
      <c r="A803" s="130" t="s">
        <v>2828</v>
      </c>
      <c r="B803" s="129"/>
      <c r="C803" s="129"/>
      <c r="D803" s="129"/>
      <c r="E803" s="129"/>
      <c r="F803" s="129"/>
      <c r="G803" s="129"/>
      <c r="H803" s="129"/>
      <c r="I803" s="129"/>
      <c r="J803" s="128" t="s">
        <v>2829</v>
      </c>
    </row>
    <row r="804" spans="1:10" ht="15" customHeight="1">
      <c r="A804" s="127" t="s">
        <v>2830</v>
      </c>
      <c r="B804" s="143"/>
      <c r="C804" s="143"/>
      <c r="D804" s="143"/>
      <c r="E804" s="143"/>
      <c r="F804" s="143"/>
      <c r="G804" s="143"/>
      <c r="H804" s="143"/>
      <c r="I804" s="143"/>
      <c r="J804" s="144" t="s">
        <v>2831</v>
      </c>
    </row>
    <row r="805" spans="1:10" ht="15" customHeight="1">
      <c r="A805" s="127" t="s">
        <v>2832</v>
      </c>
      <c r="B805" s="143"/>
      <c r="C805" s="143"/>
      <c r="D805" s="143"/>
      <c r="E805" s="143"/>
      <c r="F805" s="143"/>
      <c r="G805" s="143"/>
      <c r="H805" s="143"/>
      <c r="I805" s="143"/>
      <c r="J805" s="144"/>
    </row>
    <row r="806" spans="1:10" ht="15" customHeight="1">
      <c r="A806" s="127"/>
      <c r="B806" s="143"/>
      <c r="C806" s="143"/>
      <c r="D806" s="143"/>
      <c r="E806" s="143"/>
      <c r="F806" s="143"/>
      <c r="G806" s="143"/>
      <c r="H806" s="143"/>
      <c r="I806" s="143"/>
      <c r="J806" s="144"/>
    </row>
    <row r="807" spans="1:10" ht="15" customHeight="1">
      <c r="A807" s="127"/>
      <c r="B807" s="143"/>
      <c r="C807" s="143"/>
      <c r="D807" s="143"/>
      <c r="E807" s="143"/>
      <c r="F807" s="143"/>
      <c r="G807" s="143"/>
      <c r="H807" s="143"/>
      <c r="I807" s="143"/>
      <c r="J807" s="144"/>
    </row>
    <row r="808" spans="1:10" ht="15" customHeight="1">
      <c r="A808" s="127"/>
      <c r="B808" s="143"/>
      <c r="C808" s="143"/>
      <c r="D808" s="143"/>
      <c r="E808" s="143"/>
      <c r="F808" s="143"/>
      <c r="G808" s="143"/>
      <c r="H808" s="143"/>
      <c r="I808" s="143"/>
      <c r="J808" s="144"/>
    </row>
    <row r="809" spans="1:10" ht="15" customHeight="1">
      <c r="A809" s="127"/>
      <c r="B809" s="143"/>
      <c r="C809" s="143"/>
      <c r="D809" s="143"/>
      <c r="E809" s="143"/>
      <c r="F809" s="143"/>
      <c r="G809" s="143"/>
      <c r="H809" s="143"/>
      <c r="I809" s="143"/>
      <c r="J809" s="144"/>
    </row>
    <row r="810" spans="1:10" ht="15" customHeight="1">
      <c r="A810" s="127"/>
      <c r="B810" s="143"/>
      <c r="C810" s="143"/>
      <c r="D810" s="143"/>
      <c r="E810" s="143"/>
      <c r="F810" s="143"/>
      <c r="G810" s="143"/>
      <c r="H810" s="143"/>
      <c r="I810" s="143"/>
      <c r="J810" s="144"/>
    </row>
    <row r="811" spans="1:10" ht="15" customHeight="1">
      <c r="A811" s="145"/>
      <c r="B811" s="143"/>
      <c r="C811" s="143"/>
      <c r="D811" s="143"/>
      <c r="E811" s="143"/>
      <c r="F811" s="143"/>
      <c r="G811" s="143"/>
      <c r="H811" s="143"/>
      <c r="I811" s="143"/>
      <c r="J811" s="144"/>
    </row>
    <row r="812" spans="1:10" ht="15" customHeight="1">
      <c r="A812" s="127"/>
      <c r="B812" s="143"/>
      <c r="C812" s="143"/>
      <c r="D812" s="143"/>
      <c r="E812" s="143"/>
      <c r="F812" s="143"/>
      <c r="G812" s="143"/>
      <c r="H812" s="143"/>
      <c r="I812" s="143"/>
      <c r="J812" s="144"/>
    </row>
    <row r="813" spans="1:10" ht="15" customHeight="1">
      <c r="A813" s="146"/>
      <c r="B813" s="147"/>
      <c r="C813" s="147"/>
      <c r="D813" s="147"/>
      <c r="E813" s="147"/>
      <c r="F813" s="147"/>
      <c r="G813" s="147"/>
      <c r="H813" s="147"/>
      <c r="I813" s="147"/>
      <c r="J813" s="148"/>
    </row>
    <row r="815" spans="1:10" ht="15" customHeight="1">
      <c r="F815" s="134"/>
      <c r="G815" s="152" t="s">
        <v>2449</v>
      </c>
      <c r="H815" s="152"/>
      <c r="I815" s="152"/>
      <c r="J815" s="155">
        <v>30000</v>
      </c>
    </row>
    <row r="816" spans="1:10" ht="15" customHeight="1">
      <c r="F816" s="134"/>
      <c r="G816" s="132" t="s">
        <v>2463</v>
      </c>
      <c r="J816" s="139">
        <v>5000</v>
      </c>
    </row>
    <row r="817" spans="3:10" ht="15" customHeight="1">
      <c r="F817" s="134"/>
      <c r="G817" s="132" t="s">
        <v>2450</v>
      </c>
      <c r="J817" s="140">
        <v>25000</v>
      </c>
    </row>
    <row r="819" spans="3:10" ht="15" customHeight="1">
      <c r="E819" s="1" t="s">
        <v>2451</v>
      </c>
      <c r="F819" s="1" t="s">
        <v>2452</v>
      </c>
      <c r="G819" s="132" t="s">
        <v>2453</v>
      </c>
      <c r="J819" s="1" t="s">
        <v>2454</v>
      </c>
    </row>
    <row r="820" spans="3:10" ht="15" customHeight="1">
      <c r="C820" s="132" t="s">
        <v>2461</v>
      </c>
      <c r="E820" s="150" t="s">
        <v>2833</v>
      </c>
      <c r="F820" s="150" t="s">
        <v>2833</v>
      </c>
      <c r="G820" s="138" t="s">
        <v>2833</v>
      </c>
      <c r="H820" s="141"/>
      <c r="J820" s="139" t="s">
        <v>2833</v>
      </c>
    </row>
    <row r="821" spans="3:10" ht="15" customHeight="1">
      <c r="C821" s="132" t="s">
        <v>2461</v>
      </c>
      <c r="E821" s="150" t="s">
        <v>2833</v>
      </c>
      <c r="F821" s="150" t="s">
        <v>2833</v>
      </c>
      <c r="G821" s="138" t="s">
        <v>2833</v>
      </c>
      <c r="H821" s="141" t="s">
        <v>2833</v>
      </c>
      <c r="J821" s="139" t="s">
        <v>2833</v>
      </c>
    </row>
    <row r="822" spans="3:10" ht="15" customHeight="1">
      <c r="C822" s="132" t="s">
        <v>2461</v>
      </c>
      <c r="E822" s="150"/>
      <c r="F822" s="150"/>
      <c r="G822" s="138"/>
      <c r="H822" s="141"/>
      <c r="J822" s="139"/>
    </row>
    <row r="823" spans="3:10" ht="15" customHeight="1">
      <c r="C823" s="132" t="s">
        <v>2461</v>
      </c>
      <c r="E823" s="150"/>
      <c r="F823" s="150"/>
      <c r="G823" s="138"/>
      <c r="H823" s="141"/>
      <c r="J823" s="139"/>
    </row>
    <row r="824" spans="3:10" ht="15" customHeight="1">
      <c r="C824" s="132" t="s">
        <v>2461</v>
      </c>
      <c r="E824" s="150"/>
      <c r="F824" s="150"/>
      <c r="G824" s="138"/>
      <c r="H824" s="141"/>
      <c r="J824" s="139"/>
    </row>
    <row r="825" spans="3:10" ht="15" customHeight="1">
      <c r="C825" s="132" t="s">
        <v>2461</v>
      </c>
      <c r="E825" s="150"/>
      <c r="F825" s="150"/>
      <c r="G825" s="138"/>
      <c r="H825" s="141"/>
      <c r="J825" s="139"/>
    </row>
    <row r="826" spans="3:10" ht="15" customHeight="1">
      <c r="C826" s="132" t="s">
        <v>2461</v>
      </c>
      <c r="E826" s="150"/>
      <c r="F826" s="150"/>
      <c r="G826" s="138"/>
      <c r="H826" s="141"/>
      <c r="J826" s="139"/>
    </row>
    <row r="827" spans="3:10" ht="15" customHeight="1">
      <c r="C827" s="132" t="s">
        <v>2461</v>
      </c>
      <c r="E827" s="150"/>
      <c r="F827" s="150"/>
      <c r="G827" s="138"/>
      <c r="H827" s="141"/>
      <c r="J827" s="139"/>
    </row>
    <row r="828" spans="3:10" ht="15" customHeight="1">
      <c r="C828" s="132" t="s">
        <v>2461</v>
      </c>
      <c r="E828" s="150"/>
      <c r="F828" s="150"/>
      <c r="G828" s="138"/>
      <c r="H828" s="141"/>
      <c r="J828" s="139"/>
    </row>
    <row r="829" spans="3:10" ht="15" customHeight="1">
      <c r="C829" s="132" t="s">
        <v>2461</v>
      </c>
      <c r="E829" s="150"/>
      <c r="F829" s="150"/>
      <c r="G829" s="138"/>
      <c r="H829" s="141"/>
      <c r="J829" s="139"/>
    </row>
    <row r="830" spans="3:10" ht="15" customHeight="1">
      <c r="C830" s="132" t="s">
        <v>2461</v>
      </c>
      <c r="E830" s="150">
        <v>10</v>
      </c>
      <c r="F830" s="150">
        <v>121</v>
      </c>
      <c r="G830" s="138">
        <v>5567</v>
      </c>
      <c r="H830" s="141"/>
      <c r="J830" s="139">
        <v>30000</v>
      </c>
    </row>
    <row r="831" spans="3:10" ht="15" customHeight="1">
      <c r="C831" s="132" t="s">
        <v>2461</v>
      </c>
      <c r="E831" s="150">
        <v>10</v>
      </c>
      <c r="F831" s="150">
        <v>121</v>
      </c>
      <c r="G831" s="138" t="s">
        <v>2834</v>
      </c>
      <c r="H831" s="141"/>
      <c r="I831" s="131" t="s">
        <v>2462</v>
      </c>
      <c r="J831" s="139">
        <v>-25000</v>
      </c>
    </row>
    <row r="832" spans="3:10" ht="15" customHeight="1">
      <c r="E832" s="154"/>
      <c r="F832" s="154"/>
      <c r="G832" s="154"/>
      <c r="H832" s="154"/>
      <c r="I832" s="154"/>
      <c r="J832" s="154"/>
    </row>
    <row r="833" spans="1:10" ht="15" customHeight="1">
      <c r="F833" s="134"/>
      <c r="G833" s="152" t="s">
        <v>2466</v>
      </c>
      <c r="H833" s="152"/>
      <c r="I833" s="152"/>
      <c r="J833" s="153">
        <f>SUM(J820:J831)</f>
        <v>5000</v>
      </c>
    </row>
    <row r="834" spans="1:10" ht="15" customHeight="1">
      <c r="F834" s="134"/>
      <c r="G834" s="152"/>
      <c r="H834" s="152"/>
      <c r="I834" s="152"/>
      <c r="J834" s="157"/>
    </row>
    <row r="835" spans="1:10" ht="15" customHeight="1">
      <c r="F835" s="134"/>
      <c r="G835" s="142" t="s">
        <v>2458</v>
      </c>
      <c r="H835" s="142"/>
      <c r="I835" s="142"/>
      <c r="J835" s="156">
        <f>+J833-J815+J817</f>
        <v>0</v>
      </c>
    </row>
    <row r="838" spans="1:10" ht="15" customHeight="1">
      <c r="F838" s="1"/>
    </row>
    <row r="839" spans="1:10" ht="15" customHeight="1">
      <c r="F839" s="1"/>
    </row>
    <row r="840" spans="1:10" ht="15" customHeight="1">
      <c r="A840" s="134"/>
    </row>
    <row r="841" spans="1:10" ht="15" customHeight="1">
      <c r="A841" s="134"/>
    </row>
    <row r="842" spans="1:10" ht="15" customHeight="1">
      <c r="A842" s="133"/>
    </row>
    <row r="843" spans="1:10" ht="15" customHeight="1">
      <c r="A843" s="133"/>
    </row>
    <row r="844" spans="1:10" ht="15" customHeight="1">
      <c r="F844" s="151" t="s">
        <v>2580</v>
      </c>
    </row>
    <row r="845" spans="1:10" ht="15" customHeight="1">
      <c r="A845" s="133"/>
    </row>
    <row r="846" spans="1:10" ht="15" customHeight="1">
      <c r="A846" s="133"/>
      <c r="F846" s="151" t="s">
        <v>2447</v>
      </c>
    </row>
    <row r="847" spans="1:10" ht="15" customHeight="1">
      <c r="A847" s="133"/>
    </row>
    <row r="848" spans="1:10" ht="15" customHeight="1">
      <c r="A848" s="132" t="s">
        <v>2591</v>
      </c>
    </row>
    <row r="849" spans="1:10" ht="15" customHeight="1">
      <c r="A849" s="132" t="s">
        <v>2448</v>
      </c>
      <c r="C849" s="135" t="s">
        <v>2666</v>
      </c>
      <c r="D849" s="136"/>
      <c r="E849" s="137"/>
      <c r="G849" s="149" t="s">
        <v>2465</v>
      </c>
      <c r="H849" s="135" t="s">
        <v>2826</v>
      </c>
      <c r="I849" s="136"/>
      <c r="J849" s="137"/>
    </row>
    <row r="851" spans="1:10" ht="15" customHeight="1">
      <c r="A851" s="134" t="s">
        <v>2456</v>
      </c>
      <c r="C851" s="135" t="s">
        <v>2457</v>
      </c>
      <c r="D851" s="136"/>
      <c r="E851" s="136"/>
      <c r="F851" s="137"/>
      <c r="I851" s="149" t="s">
        <v>2464</v>
      </c>
      <c r="J851" s="150">
        <v>1</v>
      </c>
    </row>
    <row r="852" spans="1:10" ht="15" customHeight="1">
      <c r="D852" s="134"/>
    </row>
    <row r="853" spans="1:10" ht="15" customHeight="1">
      <c r="A853" s="132" t="s">
        <v>2459</v>
      </c>
      <c r="D853" s="135" t="s">
        <v>2835</v>
      </c>
      <c r="E853" s="136" t="s">
        <v>2833</v>
      </c>
      <c r="F853" s="136" t="s">
        <v>2833</v>
      </c>
      <c r="G853" s="136"/>
      <c r="H853" s="136"/>
      <c r="I853" s="136"/>
      <c r="J853" s="137"/>
    </row>
    <row r="855" spans="1:10" ht="15" customHeight="1">
      <c r="A855" s="134" t="s">
        <v>2460</v>
      </c>
    </row>
    <row r="856" spans="1:10" ht="15" customHeight="1">
      <c r="A856" s="134"/>
    </row>
    <row r="857" spans="1:10" ht="15" customHeight="1">
      <c r="A857" s="130" t="s">
        <v>2836</v>
      </c>
      <c r="B857" s="129"/>
      <c r="C857" s="129"/>
      <c r="D857" s="129"/>
      <c r="E857" s="129"/>
      <c r="F857" s="129"/>
      <c r="G857" s="129"/>
      <c r="H857" s="129"/>
      <c r="I857" s="129"/>
      <c r="J857" s="128" t="s">
        <v>2833</v>
      </c>
    </row>
    <row r="858" spans="1:10" ht="15" customHeight="1">
      <c r="A858" s="127" t="s">
        <v>2837</v>
      </c>
      <c r="B858" s="143"/>
      <c r="C858" s="143"/>
      <c r="D858" s="143"/>
      <c r="E858" s="143"/>
      <c r="F858" s="143"/>
      <c r="G858" s="143"/>
      <c r="H858" s="143"/>
      <c r="I858" s="143"/>
      <c r="J858" s="144"/>
    </row>
    <row r="859" spans="1:10" ht="15" customHeight="1">
      <c r="A859" s="127" t="s">
        <v>2838</v>
      </c>
      <c r="B859" s="143"/>
      <c r="C859" s="143"/>
      <c r="D859" s="143"/>
      <c r="E859" s="143"/>
      <c r="F859" s="143"/>
      <c r="G859" s="143"/>
      <c r="H859" s="143"/>
      <c r="I859" s="143"/>
      <c r="J859" s="144"/>
    </row>
    <row r="860" spans="1:10" ht="15" customHeight="1">
      <c r="A860" s="127"/>
      <c r="B860" s="143"/>
      <c r="C860" s="143"/>
      <c r="D860" s="143"/>
      <c r="E860" s="143"/>
      <c r="F860" s="143"/>
      <c r="G860" s="143"/>
      <c r="H860" s="143"/>
      <c r="I860" s="143"/>
      <c r="J860" s="144"/>
    </row>
    <row r="861" spans="1:10" ht="15" customHeight="1">
      <c r="A861" s="127"/>
      <c r="B861" s="143"/>
      <c r="C861" s="143"/>
      <c r="D861" s="143"/>
      <c r="E861" s="143"/>
      <c r="F861" s="143"/>
      <c r="G861" s="143"/>
      <c r="H861" s="143"/>
      <c r="I861" s="143"/>
      <c r="J861" s="144"/>
    </row>
    <row r="862" spans="1:10" ht="15" customHeight="1">
      <c r="A862" s="127"/>
      <c r="B862" s="143"/>
      <c r="C862" s="143"/>
      <c r="D862" s="143"/>
      <c r="E862" s="143"/>
      <c r="F862" s="143"/>
      <c r="G862" s="143"/>
      <c r="H862" s="143"/>
      <c r="I862" s="143"/>
      <c r="J862" s="144"/>
    </row>
    <row r="863" spans="1:10" ht="15" customHeight="1">
      <c r="A863" s="127"/>
      <c r="B863" s="143"/>
      <c r="C863" s="143"/>
      <c r="D863" s="143"/>
      <c r="E863" s="143"/>
      <c r="F863" s="143"/>
      <c r="G863" s="143"/>
      <c r="H863" s="143"/>
      <c r="I863" s="143"/>
      <c r="J863" s="144"/>
    </row>
    <row r="864" spans="1:10" ht="15" customHeight="1">
      <c r="A864" s="127"/>
      <c r="B864" s="143"/>
      <c r="C864" s="143"/>
      <c r="D864" s="143"/>
      <c r="E864" s="143"/>
      <c r="F864" s="143"/>
      <c r="G864" s="143"/>
      <c r="H864" s="143"/>
      <c r="I864" s="143"/>
      <c r="J864" s="144"/>
    </row>
    <row r="866" spans="3:10" ht="15" customHeight="1">
      <c r="F866" s="134"/>
      <c r="G866" s="152" t="s">
        <v>2449</v>
      </c>
      <c r="H866" s="152"/>
      <c r="I866" s="152"/>
      <c r="J866" s="155">
        <v>9500</v>
      </c>
    </row>
    <row r="867" spans="3:10" ht="15" customHeight="1">
      <c r="F867" s="134"/>
      <c r="G867" s="132" t="s">
        <v>2463</v>
      </c>
      <c r="J867" s="139">
        <v>9500</v>
      </c>
    </row>
    <row r="868" spans="3:10" ht="15" customHeight="1">
      <c r="F868" s="134"/>
      <c r="G868" s="132" t="s">
        <v>2450</v>
      </c>
      <c r="J868" s="140"/>
    </row>
    <row r="870" spans="3:10" ht="15" customHeight="1">
      <c r="E870" s="1" t="s">
        <v>2451</v>
      </c>
      <c r="F870" s="1" t="s">
        <v>2452</v>
      </c>
      <c r="G870" s="132" t="s">
        <v>2453</v>
      </c>
      <c r="J870" s="1" t="s">
        <v>2454</v>
      </c>
    </row>
    <row r="871" spans="3:10" ht="15" customHeight="1">
      <c r="C871" s="132" t="s">
        <v>2461</v>
      </c>
      <c r="E871" s="150" t="s">
        <v>2833</v>
      </c>
      <c r="F871" s="150" t="s">
        <v>2833</v>
      </c>
      <c r="G871" s="138" t="s">
        <v>2833</v>
      </c>
      <c r="H871" s="141"/>
      <c r="J871" s="139" t="s">
        <v>2833</v>
      </c>
    </row>
    <row r="872" spans="3:10" ht="15" customHeight="1">
      <c r="C872" s="132" t="s">
        <v>2461</v>
      </c>
      <c r="E872" s="150" t="s">
        <v>2833</v>
      </c>
      <c r="F872" s="150" t="s">
        <v>2833</v>
      </c>
      <c r="G872" s="138" t="s">
        <v>2833</v>
      </c>
      <c r="H872" s="141" t="s">
        <v>2833</v>
      </c>
      <c r="J872" s="139" t="s">
        <v>2833</v>
      </c>
    </row>
    <row r="873" spans="3:10" ht="15" customHeight="1">
      <c r="C873" s="132" t="s">
        <v>2461</v>
      </c>
      <c r="E873" s="150"/>
      <c r="F873" s="150"/>
      <c r="G873" s="138"/>
      <c r="H873" s="141"/>
      <c r="J873" s="139"/>
    </row>
    <row r="874" spans="3:10" ht="15" customHeight="1">
      <c r="C874" s="132" t="s">
        <v>2461</v>
      </c>
      <c r="E874" s="150"/>
      <c r="F874" s="150"/>
      <c r="G874" s="138"/>
      <c r="H874" s="141"/>
      <c r="J874" s="139"/>
    </row>
    <row r="875" spans="3:10" ht="15" customHeight="1">
      <c r="C875" s="132" t="s">
        <v>2461</v>
      </c>
      <c r="E875" s="150"/>
      <c r="F875" s="150"/>
      <c r="G875" s="138"/>
      <c r="H875" s="141"/>
      <c r="J875" s="139"/>
    </row>
    <row r="876" spans="3:10" ht="15" customHeight="1">
      <c r="C876" s="132" t="s">
        <v>2461</v>
      </c>
      <c r="E876" s="150"/>
      <c r="F876" s="150"/>
      <c r="G876" s="138"/>
      <c r="H876" s="141"/>
      <c r="J876" s="139"/>
    </row>
    <row r="877" spans="3:10" ht="15" customHeight="1">
      <c r="C877" s="132" t="s">
        <v>2461</v>
      </c>
      <c r="E877" s="150"/>
      <c r="F877" s="150"/>
      <c r="G877" s="138"/>
      <c r="H877" s="141"/>
      <c r="J877" s="139"/>
    </row>
    <row r="878" spans="3:10" ht="15" customHeight="1">
      <c r="C878" s="132" t="s">
        <v>2461</v>
      </c>
      <c r="E878" s="150"/>
      <c r="F878" s="150"/>
      <c r="G878" s="138"/>
      <c r="H878" s="141"/>
      <c r="J878" s="139"/>
    </row>
    <row r="879" spans="3:10" ht="15" customHeight="1">
      <c r="C879" s="132" t="s">
        <v>2461</v>
      </c>
      <c r="E879" s="150"/>
      <c r="F879" s="150"/>
      <c r="G879" s="138"/>
      <c r="H879" s="141"/>
      <c r="J879" s="139"/>
    </row>
    <row r="880" spans="3:10" ht="15" customHeight="1">
      <c r="C880" s="132" t="s">
        <v>2461</v>
      </c>
      <c r="E880" s="150"/>
      <c r="F880" s="150"/>
      <c r="G880" s="138"/>
      <c r="H880" s="141"/>
      <c r="J880" s="139"/>
    </row>
    <row r="881" spans="1:10" ht="15" customHeight="1">
      <c r="C881" s="132" t="s">
        <v>2461</v>
      </c>
      <c r="E881" s="150">
        <v>10</v>
      </c>
      <c r="F881" s="150">
        <v>121</v>
      </c>
      <c r="G881" s="138">
        <v>5565</v>
      </c>
      <c r="H881" s="141"/>
      <c r="J881" s="139">
        <v>9500</v>
      </c>
    </row>
    <row r="882" spans="1:10" ht="15" customHeight="1">
      <c r="C882" s="132" t="s">
        <v>2461</v>
      </c>
      <c r="E882" s="150">
        <v>10</v>
      </c>
      <c r="F882" s="150">
        <v>121</v>
      </c>
      <c r="G882" s="138" t="s">
        <v>2834</v>
      </c>
      <c r="H882" s="141"/>
      <c r="I882" s="131" t="s">
        <v>2462</v>
      </c>
      <c r="J882" s="139" t="s">
        <v>2833</v>
      </c>
    </row>
    <row r="883" spans="1:10" ht="15" customHeight="1">
      <c r="E883" s="154"/>
      <c r="F883" s="154"/>
      <c r="G883" s="154"/>
      <c r="H883" s="154"/>
      <c r="I883" s="154"/>
      <c r="J883" s="154"/>
    </row>
    <row r="884" spans="1:10" ht="15" customHeight="1">
      <c r="F884" s="134"/>
      <c r="G884" s="152" t="s">
        <v>2466</v>
      </c>
      <c r="H884" s="152"/>
      <c r="I884" s="152"/>
      <c r="J884" s="153">
        <f>SUM(J871:J882)</f>
        <v>9500</v>
      </c>
    </row>
    <row r="885" spans="1:10" ht="15" customHeight="1">
      <c r="F885" s="134"/>
      <c r="G885" s="152"/>
      <c r="H885" s="152"/>
      <c r="I885" s="152"/>
      <c r="J885" s="157"/>
    </row>
    <row r="886" spans="1:10" ht="15" customHeight="1">
      <c r="F886" s="134"/>
      <c r="G886" s="142" t="s">
        <v>2458</v>
      </c>
      <c r="H886" s="142"/>
      <c r="I886" s="142"/>
      <c r="J886" s="156">
        <f>+J884-J866+J868</f>
        <v>0</v>
      </c>
    </row>
    <row r="889" spans="1:10" ht="15" customHeight="1">
      <c r="F889" s="1"/>
    </row>
    <row r="890" spans="1:10" ht="15" customHeight="1">
      <c r="F890" s="1"/>
    </row>
    <row r="891" spans="1:10" ht="15" customHeight="1">
      <c r="A891" s="134"/>
    </row>
    <row r="892" spans="1:10" ht="15" customHeight="1">
      <c r="A892" s="134"/>
    </row>
    <row r="893" spans="1:10" ht="15" customHeight="1">
      <c r="A893" s="133"/>
    </row>
    <row r="894" spans="1:10" ht="15" customHeight="1">
      <c r="A894" s="133"/>
    </row>
    <row r="895" spans="1:10" ht="15" customHeight="1">
      <c r="F895" s="151" t="s">
        <v>2580</v>
      </c>
    </row>
    <row r="896" spans="1:10" ht="15" customHeight="1">
      <c r="A896" s="133"/>
    </row>
    <row r="897" spans="1:10" ht="15" customHeight="1">
      <c r="A897" s="133"/>
      <c r="F897" s="151" t="s">
        <v>2447</v>
      </c>
    </row>
    <row r="898" spans="1:10" ht="15" customHeight="1">
      <c r="A898" s="133"/>
    </row>
    <row r="899" spans="1:10" ht="15" customHeight="1">
      <c r="A899" s="132" t="s">
        <v>2591</v>
      </c>
    </row>
    <row r="900" spans="1:10" ht="15" customHeight="1">
      <c r="A900" s="132" t="s">
        <v>2448</v>
      </c>
      <c r="C900" s="135" t="s">
        <v>2666</v>
      </c>
      <c r="D900" s="136"/>
      <c r="E900" s="137"/>
      <c r="G900" s="149" t="s">
        <v>2465</v>
      </c>
      <c r="H900" s="135" t="s">
        <v>2826</v>
      </c>
      <c r="I900" s="136"/>
      <c r="J900" s="137"/>
    </row>
    <row r="902" spans="1:10" ht="15" customHeight="1">
      <c r="A902" s="134" t="s">
        <v>2456</v>
      </c>
      <c r="C902" s="135" t="s">
        <v>2457</v>
      </c>
      <c r="D902" s="136"/>
      <c r="E902" s="136"/>
      <c r="F902" s="137"/>
      <c r="I902" s="149" t="s">
        <v>2464</v>
      </c>
      <c r="J902" s="150">
        <v>2</v>
      </c>
    </row>
    <row r="903" spans="1:10" ht="15" customHeight="1">
      <c r="D903" s="134"/>
    </row>
    <row r="904" spans="1:10" ht="15" customHeight="1">
      <c r="A904" s="132" t="s">
        <v>2459</v>
      </c>
      <c r="D904" s="135" t="s">
        <v>2839</v>
      </c>
      <c r="E904" s="136" t="s">
        <v>2833</v>
      </c>
      <c r="F904" s="136" t="s">
        <v>2833</v>
      </c>
      <c r="G904" s="136"/>
      <c r="H904" s="136"/>
      <c r="I904" s="136"/>
      <c r="J904" s="137"/>
    </row>
    <row r="906" spans="1:10" ht="15" customHeight="1">
      <c r="A906" s="134" t="s">
        <v>2460</v>
      </c>
    </row>
    <row r="907" spans="1:10" ht="15" customHeight="1">
      <c r="A907" s="134"/>
    </row>
    <row r="908" spans="1:10" ht="15" customHeight="1">
      <c r="A908" s="130" t="s">
        <v>2836</v>
      </c>
      <c r="B908" s="129"/>
      <c r="C908" s="129"/>
      <c r="D908" s="129"/>
      <c r="E908" s="129"/>
      <c r="F908" s="129"/>
      <c r="G908" s="129"/>
      <c r="H908" s="129"/>
      <c r="I908" s="129"/>
      <c r="J908" s="128" t="s">
        <v>2833</v>
      </c>
    </row>
    <row r="909" spans="1:10" ht="15" customHeight="1">
      <c r="A909" s="127" t="s">
        <v>2840</v>
      </c>
      <c r="B909" s="143"/>
      <c r="C909" s="143"/>
      <c r="D909" s="143"/>
      <c r="E909" s="143"/>
      <c r="F909" s="143"/>
      <c r="G909" s="143"/>
      <c r="H909" s="143"/>
      <c r="I909" s="143"/>
      <c r="J909" s="144"/>
    </row>
    <row r="910" spans="1:10" ht="15" customHeight="1">
      <c r="A910" s="127" t="s">
        <v>2841</v>
      </c>
      <c r="B910" s="143"/>
      <c r="C910" s="143"/>
      <c r="D910" s="143"/>
      <c r="E910" s="143"/>
      <c r="F910" s="143"/>
      <c r="G910" s="143"/>
      <c r="H910" s="143"/>
      <c r="I910" s="143"/>
      <c r="J910" s="144"/>
    </row>
    <row r="911" spans="1:10" ht="15" customHeight="1">
      <c r="A911" s="127"/>
      <c r="B911" s="143"/>
      <c r="C911" s="143"/>
      <c r="D911" s="143"/>
      <c r="E911" s="143"/>
      <c r="F911" s="143"/>
      <c r="G911" s="143"/>
      <c r="H911" s="143"/>
      <c r="I911" s="143"/>
      <c r="J911" s="144"/>
    </row>
    <row r="912" spans="1:10" ht="15" customHeight="1">
      <c r="A912" s="127"/>
      <c r="B912" s="143"/>
      <c r="C912" s="143"/>
      <c r="D912" s="143"/>
      <c r="E912" s="143"/>
      <c r="F912" s="143"/>
      <c r="G912" s="143"/>
      <c r="H912" s="143"/>
      <c r="I912" s="143"/>
      <c r="J912" s="144"/>
    </row>
    <row r="913" spans="1:10" ht="15" customHeight="1">
      <c r="A913" s="127"/>
      <c r="B913" s="143"/>
      <c r="C913" s="143"/>
      <c r="D913" s="143"/>
      <c r="E913" s="143"/>
      <c r="F913" s="143"/>
      <c r="G913" s="143"/>
      <c r="H913" s="143"/>
      <c r="I913" s="143"/>
      <c r="J913" s="144"/>
    </row>
    <row r="914" spans="1:10" ht="15" customHeight="1">
      <c r="A914" s="127"/>
      <c r="B914" s="143"/>
      <c r="C914" s="143"/>
      <c r="D914" s="143"/>
      <c r="E914" s="143"/>
      <c r="F914" s="143"/>
      <c r="G914" s="143"/>
      <c r="H914" s="143"/>
      <c r="I914" s="143"/>
      <c r="J914" s="144"/>
    </row>
    <row r="915" spans="1:10" ht="15" customHeight="1">
      <c r="A915" s="127"/>
      <c r="B915" s="143"/>
      <c r="C915" s="143"/>
      <c r="D915" s="143"/>
      <c r="E915" s="143"/>
      <c r="F915" s="143"/>
      <c r="G915" s="143"/>
      <c r="H915" s="143"/>
      <c r="I915" s="143"/>
      <c r="J915" s="144"/>
    </row>
    <row r="917" spans="1:10" ht="15" customHeight="1">
      <c r="F917" s="134"/>
      <c r="G917" s="152" t="s">
        <v>2449</v>
      </c>
      <c r="H917" s="152"/>
      <c r="I917" s="152"/>
      <c r="J917" s="155">
        <v>1500</v>
      </c>
    </row>
    <row r="918" spans="1:10" ht="15" customHeight="1">
      <c r="F918" s="134"/>
      <c r="G918" s="132" t="s">
        <v>2463</v>
      </c>
      <c r="J918" s="139">
        <v>1500</v>
      </c>
    </row>
    <row r="919" spans="1:10" ht="15" customHeight="1">
      <c r="F919" s="134"/>
      <c r="G919" s="132" t="s">
        <v>2450</v>
      </c>
      <c r="J919" s="140"/>
    </row>
    <row r="921" spans="1:10" ht="15" customHeight="1">
      <c r="E921" s="1" t="s">
        <v>2451</v>
      </c>
      <c r="F921" s="1" t="s">
        <v>2452</v>
      </c>
      <c r="G921" s="132" t="s">
        <v>2453</v>
      </c>
      <c r="J921" s="1" t="s">
        <v>2454</v>
      </c>
    </row>
    <row r="922" spans="1:10" ht="15" customHeight="1">
      <c r="C922" s="132" t="s">
        <v>2461</v>
      </c>
      <c r="E922" s="150" t="s">
        <v>2833</v>
      </c>
      <c r="F922" s="150" t="s">
        <v>2833</v>
      </c>
      <c r="G922" s="138" t="s">
        <v>2833</v>
      </c>
      <c r="H922" s="141"/>
      <c r="J922" s="139" t="s">
        <v>2833</v>
      </c>
    </row>
    <row r="923" spans="1:10" ht="15" customHeight="1">
      <c r="C923" s="132" t="s">
        <v>2461</v>
      </c>
      <c r="E923" s="150" t="s">
        <v>2833</v>
      </c>
      <c r="F923" s="150" t="s">
        <v>2833</v>
      </c>
      <c r="G923" s="138" t="s">
        <v>2833</v>
      </c>
      <c r="H923" s="141" t="s">
        <v>2833</v>
      </c>
      <c r="J923" s="139" t="s">
        <v>2833</v>
      </c>
    </row>
    <row r="924" spans="1:10" ht="15" customHeight="1">
      <c r="C924" s="132" t="s">
        <v>2461</v>
      </c>
      <c r="E924" s="150"/>
      <c r="F924" s="150"/>
      <c r="G924" s="138"/>
      <c r="H924" s="141"/>
      <c r="J924" s="139"/>
    </row>
    <row r="925" spans="1:10" ht="15" customHeight="1">
      <c r="C925" s="132" t="s">
        <v>2461</v>
      </c>
      <c r="E925" s="150"/>
      <c r="F925" s="150"/>
      <c r="G925" s="138"/>
      <c r="H925" s="141"/>
      <c r="J925" s="139"/>
    </row>
    <row r="926" spans="1:10" ht="15" customHeight="1">
      <c r="C926" s="132" t="s">
        <v>2461</v>
      </c>
      <c r="E926" s="150"/>
      <c r="F926" s="150"/>
      <c r="G926" s="138"/>
      <c r="H926" s="141"/>
      <c r="J926" s="139"/>
    </row>
    <row r="927" spans="1:10" ht="15" customHeight="1">
      <c r="C927" s="132" t="s">
        <v>2461</v>
      </c>
      <c r="E927" s="150"/>
      <c r="F927" s="150"/>
      <c r="G927" s="138"/>
      <c r="H927" s="141"/>
      <c r="J927" s="139"/>
    </row>
    <row r="928" spans="1:10" ht="15" customHeight="1">
      <c r="C928" s="132" t="s">
        <v>2461</v>
      </c>
      <c r="E928" s="150"/>
      <c r="F928" s="150"/>
      <c r="G928" s="138"/>
      <c r="H928" s="141"/>
      <c r="J928" s="139"/>
    </row>
    <row r="929" spans="1:10" ht="15" customHeight="1">
      <c r="C929" s="132" t="s">
        <v>2461</v>
      </c>
      <c r="E929" s="150"/>
      <c r="F929" s="150"/>
      <c r="G929" s="138"/>
      <c r="H929" s="141"/>
      <c r="J929" s="139"/>
    </row>
    <row r="930" spans="1:10" ht="15" customHeight="1">
      <c r="C930" s="132" t="s">
        <v>2461</v>
      </c>
      <c r="E930" s="150"/>
      <c r="F930" s="150"/>
      <c r="G930" s="138"/>
      <c r="H930" s="141"/>
      <c r="J930" s="139"/>
    </row>
    <row r="931" spans="1:10" ht="15" customHeight="1">
      <c r="C931" s="132" t="s">
        <v>2461</v>
      </c>
      <c r="E931" s="150"/>
      <c r="F931" s="150"/>
      <c r="G931" s="138"/>
      <c r="H931" s="141"/>
      <c r="J931" s="139"/>
    </row>
    <row r="932" spans="1:10" ht="15" customHeight="1">
      <c r="C932" s="132" t="s">
        <v>2461</v>
      </c>
      <c r="E932" s="150">
        <v>10</v>
      </c>
      <c r="F932" s="150">
        <v>121</v>
      </c>
      <c r="G932" s="138">
        <v>5301</v>
      </c>
      <c r="H932" s="141"/>
      <c r="J932" s="139">
        <v>1500</v>
      </c>
    </row>
    <row r="933" spans="1:10" ht="15" customHeight="1">
      <c r="C933" s="132" t="s">
        <v>2461</v>
      </c>
      <c r="E933" s="150">
        <v>10</v>
      </c>
      <c r="F933" s="150">
        <v>121</v>
      </c>
      <c r="G933" s="138" t="s">
        <v>2834</v>
      </c>
      <c r="H933" s="141"/>
      <c r="I933" s="131" t="s">
        <v>2462</v>
      </c>
      <c r="J933" s="139" t="s">
        <v>2833</v>
      </c>
    </row>
    <row r="934" spans="1:10" ht="15" customHeight="1">
      <c r="E934" s="154"/>
      <c r="F934" s="154"/>
      <c r="G934" s="154"/>
      <c r="H934" s="154"/>
      <c r="I934" s="154"/>
      <c r="J934" s="154"/>
    </row>
    <row r="935" spans="1:10" ht="15" customHeight="1">
      <c r="F935" s="134"/>
      <c r="G935" s="152" t="s">
        <v>2466</v>
      </c>
      <c r="H935" s="152"/>
      <c r="I935" s="152"/>
      <c r="J935" s="153">
        <f>SUM(J922:J933)</f>
        <v>1500</v>
      </c>
    </row>
    <row r="936" spans="1:10" ht="15" customHeight="1">
      <c r="F936" s="134"/>
      <c r="G936" s="152"/>
      <c r="H936" s="152"/>
      <c r="I936" s="152"/>
      <c r="J936" s="157"/>
    </row>
    <row r="937" spans="1:10" ht="15" customHeight="1">
      <c r="F937" s="134"/>
      <c r="G937" s="142" t="s">
        <v>2458</v>
      </c>
      <c r="H937" s="142"/>
      <c r="I937" s="142"/>
      <c r="J937" s="156">
        <f>+J935-J917+J919</f>
        <v>0</v>
      </c>
    </row>
    <row r="941" spans="1:10" ht="15" customHeight="1">
      <c r="F941" s="1"/>
    </row>
    <row r="942" spans="1:10" ht="15" customHeight="1">
      <c r="F942" s="1"/>
    </row>
    <row r="943" spans="1:10" ht="15" customHeight="1">
      <c r="A943" s="134"/>
    </row>
    <row r="944" spans="1:10" ht="15" customHeight="1">
      <c r="A944" s="134"/>
    </row>
    <row r="945" spans="1:10" ht="15" customHeight="1">
      <c r="A945" s="133"/>
    </row>
    <row r="946" spans="1:10" ht="15" customHeight="1">
      <c r="A946" s="133"/>
    </row>
    <row r="947" spans="1:10" ht="15" customHeight="1">
      <c r="F947" s="151" t="s">
        <v>2580</v>
      </c>
    </row>
    <row r="948" spans="1:10" ht="15" customHeight="1">
      <c r="A948" s="133"/>
    </row>
    <row r="949" spans="1:10" ht="15" customHeight="1">
      <c r="A949" s="133"/>
      <c r="F949" s="151" t="s">
        <v>2447</v>
      </c>
    </row>
    <row r="950" spans="1:10" ht="15" customHeight="1">
      <c r="A950" s="133"/>
    </row>
    <row r="951" spans="1:10" ht="15" customHeight="1">
      <c r="A951" s="142"/>
      <c r="B951" s="142"/>
      <c r="C951" s="142"/>
      <c r="D951" s="142"/>
      <c r="E951" s="142"/>
      <c r="F951" s="142"/>
      <c r="G951" s="142"/>
      <c r="J951" s="142"/>
    </row>
    <row r="953" spans="1:10" ht="15" customHeight="1">
      <c r="A953" s="132" t="s">
        <v>2448</v>
      </c>
      <c r="C953" s="135" t="s">
        <v>2666</v>
      </c>
      <c r="D953" s="136"/>
      <c r="E953" s="137"/>
      <c r="G953" s="149" t="s">
        <v>2465</v>
      </c>
      <c r="H953" s="135" t="s">
        <v>2737</v>
      </c>
      <c r="I953" s="136"/>
      <c r="J953" s="137"/>
    </row>
    <row r="955" spans="1:10" ht="15" customHeight="1">
      <c r="A955" s="134" t="s">
        <v>2456</v>
      </c>
      <c r="C955" s="135" t="s">
        <v>2668</v>
      </c>
      <c r="D955" s="136"/>
      <c r="E955" s="136"/>
      <c r="F955" s="137"/>
      <c r="I955" s="149" t="s">
        <v>2464</v>
      </c>
      <c r="J955" s="150">
        <v>1</v>
      </c>
    </row>
    <row r="956" spans="1:10" ht="15" customHeight="1">
      <c r="D956" s="134"/>
    </row>
    <row r="957" spans="1:10" ht="15" customHeight="1">
      <c r="A957" s="132" t="s">
        <v>2459</v>
      </c>
      <c r="D957" s="135" t="s">
        <v>2709</v>
      </c>
      <c r="E957" s="136"/>
      <c r="F957" s="136"/>
      <c r="G957" s="136"/>
      <c r="H957" s="136"/>
      <c r="I957" s="136"/>
      <c r="J957" s="137"/>
    </row>
    <row r="959" spans="1:10" ht="15" customHeight="1">
      <c r="A959" s="134" t="s">
        <v>2460</v>
      </c>
    </row>
    <row r="960" spans="1:10" ht="15" customHeight="1">
      <c r="A960" s="134"/>
    </row>
    <row r="961" spans="1:10" ht="15" customHeight="1">
      <c r="A961" s="130" t="s">
        <v>2738</v>
      </c>
      <c r="B961" s="129"/>
      <c r="C961" s="129"/>
      <c r="D961" s="129"/>
      <c r="E961" s="129"/>
      <c r="F961" s="129"/>
      <c r="G961" s="129"/>
      <c r="H961" s="129"/>
      <c r="I961" s="129"/>
      <c r="J961" s="128"/>
    </row>
    <row r="962" spans="1:10" ht="15" customHeight="1">
      <c r="A962" s="127"/>
      <c r="B962" s="143"/>
      <c r="C962" s="143"/>
      <c r="D962" s="143"/>
      <c r="E962" s="143"/>
      <c r="F962" s="143"/>
      <c r="G962" s="143"/>
      <c r="H962" s="143"/>
      <c r="I962" s="143"/>
      <c r="J962" s="144"/>
    </row>
    <row r="963" spans="1:10" ht="15" customHeight="1">
      <c r="A963" s="127"/>
      <c r="B963" s="143"/>
      <c r="C963" s="143"/>
      <c r="D963" s="143"/>
      <c r="E963" s="143"/>
      <c r="F963" s="143"/>
      <c r="G963" s="143"/>
      <c r="H963" s="143"/>
      <c r="I963" s="143"/>
      <c r="J963" s="144"/>
    </row>
    <row r="964" spans="1:10" ht="15" customHeight="1">
      <c r="A964" s="127"/>
      <c r="B964" s="143"/>
      <c r="C964" s="143"/>
      <c r="D964" s="143"/>
      <c r="E964" s="143"/>
      <c r="F964" s="143"/>
      <c r="G964" s="143"/>
      <c r="H964" s="143"/>
      <c r="I964" s="143"/>
      <c r="J964" s="144"/>
    </row>
    <row r="965" spans="1:10" ht="15" customHeight="1">
      <c r="A965" s="127"/>
      <c r="B965" s="143"/>
      <c r="C965" s="143"/>
      <c r="D965" s="143"/>
      <c r="E965" s="143"/>
      <c r="F965" s="143"/>
      <c r="G965" s="143"/>
      <c r="H965" s="143"/>
      <c r="I965" s="143"/>
      <c r="J965" s="144"/>
    </row>
    <row r="966" spans="1:10" ht="15" customHeight="1">
      <c r="A966" s="127"/>
      <c r="B966" s="143"/>
      <c r="C966" s="143"/>
      <c r="D966" s="143"/>
      <c r="E966" s="143"/>
      <c r="F966" s="143"/>
      <c r="G966" s="143"/>
      <c r="H966" s="143"/>
      <c r="I966" s="143"/>
      <c r="J966" s="144"/>
    </row>
    <row r="967" spans="1:10" ht="15" customHeight="1">
      <c r="A967" s="127"/>
      <c r="B967" s="143"/>
      <c r="C967" s="143"/>
      <c r="D967" s="143"/>
      <c r="E967" s="143"/>
      <c r="F967" s="143"/>
      <c r="G967" s="143"/>
      <c r="H967" s="143"/>
      <c r="I967" s="143"/>
      <c r="J967" s="144"/>
    </row>
    <row r="968" spans="1:10" ht="15" customHeight="1">
      <c r="A968" s="127"/>
      <c r="B968" s="143"/>
      <c r="C968" s="143"/>
      <c r="D968" s="143"/>
      <c r="E968" s="143"/>
      <c r="F968" s="143"/>
      <c r="G968" s="143"/>
      <c r="H968" s="143"/>
      <c r="I968" s="143"/>
      <c r="J968" s="144"/>
    </row>
    <row r="969" spans="1:10" ht="15" customHeight="1">
      <c r="A969" s="145"/>
      <c r="B969" s="143"/>
      <c r="C969" s="143"/>
      <c r="D969" s="143"/>
      <c r="E969" s="143"/>
      <c r="F969" s="143"/>
      <c r="G969" s="143"/>
      <c r="H969" s="143"/>
      <c r="I969" s="143"/>
      <c r="J969" s="144"/>
    </row>
    <row r="970" spans="1:10" ht="15" customHeight="1">
      <c r="A970" s="127"/>
      <c r="B970" s="143"/>
      <c r="C970" s="143"/>
      <c r="D970" s="143"/>
      <c r="E970" s="143"/>
      <c r="F970" s="143"/>
      <c r="G970" s="143"/>
      <c r="H970" s="143"/>
      <c r="I970" s="143"/>
      <c r="J970" s="144"/>
    </row>
    <row r="971" spans="1:10" ht="15" customHeight="1">
      <c r="A971" s="146"/>
      <c r="B971" s="147"/>
      <c r="C971" s="147"/>
      <c r="D971" s="147"/>
      <c r="E971" s="147"/>
      <c r="F971" s="147"/>
      <c r="G971" s="147"/>
      <c r="H971" s="147"/>
      <c r="I971" s="147"/>
      <c r="J971" s="148"/>
    </row>
    <row r="973" spans="1:10" ht="15" customHeight="1">
      <c r="F973" s="134"/>
      <c r="G973" s="152" t="s">
        <v>2449</v>
      </c>
      <c r="H973" s="152"/>
      <c r="I973" s="152"/>
      <c r="J973" s="155">
        <v>3520</v>
      </c>
    </row>
    <row r="974" spans="1:10" ht="15" customHeight="1">
      <c r="F974" s="134"/>
      <c r="G974" s="132" t="s">
        <v>2463</v>
      </c>
      <c r="J974" s="139">
        <v>0</v>
      </c>
    </row>
    <row r="975" spans="1:10" ht="15" customHeight="1">
      <c r="F975" s="134"/>
      <c r="G975" s="132" t="s">
        <v>2450</v>
      </c>
      <c r="J975" s="140">
        <v>0</v>
      </c>
    </row>
    <row r="977" spans="3:10" ht="15" customHeight="1">
      <c r="E977" s="1" t="s">
        <v>2451</v>
      </c>
      <c r="F977" s="1" t="s">
        <v>2452</v>
      </c>
      <c r="G977" s="132" t="s">
        <v>2453</v>
      </c>
      <c r="J977" s="1" t="s">
        <v>2454</v>
      </c>
    </row>
    <row r="978" spans="3:10" ht="15" customHeight="1">
      <c r="C978" s="132" t="s">
        <v>2461</v>
      </c>
      <c r="E978" s="150"/>
      <c r="F978" s="150"/>
      <c r="G978" s="138"/>
      <c r="H978" s="141"/>
      <c r="J978" s="139"/>
    </row>
    <row r="979" spans="3:10" ht="15" customHeight="1">
      <c r="C979" s="132" t="s">
        <v>2461</v>
      </c>
      <c r="E979" s="150"/>
      <c r="F979" s="150"/>
      <c r="G979" s="138"/>
      <c r="H979" s="141"/>
      <c r="J979" s="139"/>
    </row>
    <row r="980" spans="3:10" ht="15" customHeight="1">
      <c r="C980" s="132" t="s">
        <v>2461</v>
      </c>
      <c r="E980" s="150"/>
      <c r="F980" s="150"/>
      <c r="G980" s="138"/>
      <c r="H980" s="141"/>
      <c r="J980" s="139"/>
    </row>
    <row r="981" spans="3:10" ht="15" customHeight="1">
      <c r="C981" s="132" t="s">
        <v>2461</v>
      </c>
      <c r="E981" s="150"/>
      <c r="F981" s="150"/>
      <c r="G981" s="138"/>
      <c r="H981" s="141"/>
      <c r="J981" s="139"/>
    </row>
    <row r="982" spans="3:10" ht="15" customHeight="1">
      <c r="C982" s="132" t="s">
        <v>2461</v>
      </c>
      <c r="E982" s="150"/>
      <c r="F982" s="150"/>
      <c r="G982" s="138"/>
      <c r="H982" s="141"/>
      <c r="J982" s="139"/>
    </row>
    <row r="983" spans="3:10" ht="15" customHeight="1">
      <c r="C983" s="132" t="s">
        <v>2461</v>
      </c>
      <c r="E983" s="150"/>
      <c r="F983" s="150"/>
      <c r="G983" s="138"/>
      <c r="H983" s="141"/>
      <c r="J983" s="139"/>
    </row>
    <row r="984" spans="3:10" ht="15" customHeight="1">
      <c r="C984" s="132" t="s">
        <v>2461</v>
      </c>
      <c r="E984" s="150"/>
      <c r="F984" s="150"/>
      <c r="G984" s="138"/>
      <c r="H984" s="141"/>
      <c r="J984" s="139"/>
    </row>
    <row r="985" spans="3:10" ht="15" customHeight="1">
      <c r="C985" s="132" t="s">
        <v>2461</v>
      </c>
      <c r="E985" s="150"/>
      <c r="F985" s="150"/>
      <c r="G985" s="138"/>
      <c r="H985" s="141"/>
      <c r="J985" s="139"/>
    </row>
    <row r="986" spans="3:10" ht="15" customHeight="1">
      <c r="C986" s="132" t="s">
        <v>2461</v>
      </c>
      <c r="E986" s="150"/>
      <c r="F986" s="150"/>
      <c r="G986" s="138"/>
      <c r="H986" s="141"/>
      <c r="J986" s="139"/>
    </row>
    <row r="987" spans="3:10" ht="15" customHeight="1">
      <c r="C987" s="132" t="s">
        <v>2461</v>
      </c>
      <c r="E987" s="150"/>
      <c r="F987" s="150"/>
      <c r="G987" s="138"/>
      <c r="H987" s="141"/>
      <c r="J987" s="139"/>
    </row>
    <row r="988" spans="3:10" ht="15" customHeight="1">
      <c r="C988" s="132" t="s">
        <v>2461</v>
      </c>
      <c r="E988" s="150"/>
      <c r="F988" s="150"/>
      <c r="G988" s="138">
        <v>5230</v>
      </c>
      <c r="H988" s="141"/>
      <c r="J988" s="139">
        <v>3520</v>
      </c>
    </row>
    <row r="989" spans="3:10" ht="15" customHeight="1">
      <c r="C989" s="132" t="s">
        <v>2461</v>
      </c>
      <c r="E989" s="150"/>
      <c r="F989" s="150"/>
      <c r="G989" s="138"/>
      <c r="H989" s="141"/>
      <c r="I989" s="131" t="s">
        <v>2462</v>
      </c>
      <c r="J989" s="139">
        <v>0</v>
      </c>
    </row>
    <row r="990" spans="3:10" ht="15" customHeight="1">
      <c r="E990" s="154"/>
      <c r="F990" s="154"/>
      <c r="G990" s="154"/>
      <c r="H990" s="154"/>
      <c r="I990" s="154"/>
      <c r="J990" s="154"/>
    </row>
    <row r="991" spans="3:10" ht="15" customHeight="1">
      <c r="F991" s="134"/>
      <c r="G991" s="152" t="s">
        <v>2466</v>
      </c>
      <c r="H991" s="152"/>
      <c r="I991" s="152"/>
      <c r="J991" s="153">
        <f>SUM(J978:J989)</f>
        <v>3520</v>
      </c>
    </row>
    <row r="992" spans="3:10" ht="15" customHeight="1">
      <c r="F992" s="134"/>
      <c r="G992" s="152"/>
      <c r="H992" s="152"/>
      <c r="I992" s="152"/>
      <c r="J992" s="157"/>
    </row>
    <row r="993" spans="1:10" ht="15" customHeight="1">
      <c r="F993" s="134"/>
      <c r="G993" s="142" t="s">
        <v>2458</v>
      </c>
      <c r="H993" s="142"/>
      <c r="I993" s="142"/>
      <c r="J993" s="156">
        <f>+J991-J973+J975</f>
        <v>0</v>
      </c>
    </row>
    <row r="998" spans="1:10" ht="15" customHeight="1">
      <c r="F998" s="1"/>
    </row>
    <row r="999" spans="1:10" ht="15" customHeight="1">
      <c r="F999" s="1"/>
    </row>
    <row r="1000" spans="1:10" ht="15" customHeight="1">
      <c r="A1000" s="134"/>
    </row>
    <row r="1001" spans="1:10" ht="15" customHeight="1">
      <c r="A1001" s="134"/>
    </row>
    <row r="1002" spans="1:10" ht="15" customHeight="1">
      <c r="A1002" s="133"/>
    </row>
    <row r="1003" spans="1:10" ht="15" customHeight="1">
      <c r="A1003" s="133"/>
    </row>
    <row r="1004" spans="1:10" ht="15" customHeight="1">
      <c r="F1004" s="151" t="s">
        <v>2580</v>
      </c>
    </row>
    <row r="1005" spans="1:10" ht="15" customHeight="1">
      <c r="A1005" s="133"/>
    </row>
    <row r="1006" spans="1:10" ht="15" customHeight="1">
      <c r="A1006" s="133"/>
      <c r="F1006" s="151" t="s">
        <v>2447</v>
      </c>
    </row>
    <row r="1007" spans="1:10" ht="15" customHeight="1">
      <c r="A1007" s="133"/>
    </row>
    <row r="1008" spans="1:10" ht="15" customHeight="1">
      <c r="A1008" s="142"/>
      <c r="B1008" s="142"/>
      <c r="C1008" s="142"/>
      <c r="D1008" s="142"/>
      <c r="E1008" s="142"/>
      <c r="F1008" s="142"/>
      <c r="G1008" s="142"/>
      <c r="J1008" s="142"/>
    </row>
    <row r="1010" spans="1:10" ht="15" customHeight="1">
      <c r="A1010" s="132" t="s">
        <v>2448</v>
      </c>
      <c r="C1010" s="135" t="s">
        <v>2666</v>
      </c>
      <c r="D1010" s="136"/>
      <c r="E1010" s="137"/>
      <c r="G1010" s="149" t="s">
        <v>2465</v>
      </c>
      <c r="H1010" s="135" t="s">
        <v>2737</v>
      </c>
      <c r="I1010" s="136"/>
      <c r="J1010" s="137"/>
    </row>
    <row r="1012" spans="1:10" ht="15" customHeight="1">
      <c r="A1012" s="134" t="s">
        <v>2456</v>
      </c>
      <c r="C1012" s="135" t="s">
        <v>2711</v>
      </c>
      <c r="D1012" s="136"/>
      <c r="E1012" s="136"/>
      <c r="F1012" s="137"/>
      <c r="I1012" s="149" t="s">
        <v>2464</v>
      </c>
      <c r="J1012" s="150">
        <v>1</v>
      </c>
    </row>
    <row r="1013" spans="1:10" ht="15" customHeight="1">
      <c r="D1013" s="134"/>
    </row>
    <row r="1014" spans="1:10" ht="15" customHeight="1">
      <c r="A1014" s="132" t="s">
        <v>2459</v>
      </c>
      <c r="D1014" s="135" t="s">
        <v>2739</v>
      </c>
      <c r="E1014" s="136"/>
      <c r="F1014" s="136"/>
      <c r="G1014" s="136"/>
      <c r="H1014" s="136"/>
      <c r="I1014" s="136"/>
      <c r="J1014" s="137"/>
    </row>
    <row r="1016" spans="1:10" ht="15" customHeight="1">
      <c r="A1016" s="134" t="s">
        <v>2460</v>
      </c>
    </row>
    <row r="1017" spans="1:10" ht="15" customHeight="1">
      <c r="A1017" s="134"/>
    </row>
    <row r="1018" spans="1:10" ht="15" customHeight="1">
      <c r="A1018" s="130" t="s">
        <v>2740</v>
      </c>
      <c r="B1018" s="129"/>
      <c r="C1018" s="129"/>
      <c r="D1018" s="129"/>
      <c r="E1018" s="129"/>
      <c r="F1018" s="129"/>
      <c r="G1018" s="129"/>
      <c r="H1018" s="129"/>
      <c r="I1018" s="129"/>
      <c r="J1018" s="128"/>
    </row>
    <row r="1019" spans="1:10" ht="15" customHeight="1">
      <c r="A1019" s="127" t="s">
        <v>2741</v>
      </c>
      <c r="B1019" s="143"/>
      <c r="C1019" s="143"/>
      <c r="D1019" s="143"/>
      <c r="E1019" s="143"/>
      <c r="F1019" s="143"/>
      <c r="G1019" s="143"/>
      <c r="H1019" s="143"/>
      <c r="I1019" s="143"/>
      <c r="J1019" s="144"/>
    </row>
    <row r="1020" spans="1:10" ht="15" customHeight="1">
      <c r="A1020" s="127" t="s">
        <v>2742</v>
      </c>
      <c r="B1020" s="143"/>
      <c r="C1020" s="143"/>
      <c r="D1020" s="143"/>
      <c r="E1020" s="143"/>
      <c r="F1020" s="143"/>
      <c r="G1020" s="143"/>
      <c r="H1020" s="143"/>
      <c r="I1020" s="143"/>
      <c r="J1020" s="144"/>
    </row>
    <row r="1021" spans="1:10" ht="15" customHeight="1">
      <c r="A1021" s="127" t="s">
        <v>2743</v>
      </c>
      <c r="B1021" s="143"/>
      <c r="C1021" s="143"/>
      <c r="D1021" s="143"/>
      <c r="E1021" s="143"/>
      <c r="F1021" s="143"/>
      <c r="G1021" s="143"/>
      <c r="H1021" s="143"/>
      <c r="I1021" s="143"/>
      <c r="J1021" s="144"/>
    </row>
    <row r="1022" spans="1:10" ht="15" customHeight="1">
      <c r="A1022" s="127"/>
      <c r="B1022" s="143"/>
      <c r="C1022" s="143"/>
      <c r="D1022" s="143"/>
      <c r="E1022" s="143"/>
      <c r="F1022" s="143"/>
      <c r="G1022" s="143"/>
      <c r="H1022" s="143"/>
      <c r="I1022" s="143"/>
      <c r="J1022" s="144"/>
    </row>
    <row r="1023" spans="1:10" ht="15" customHeight="1">
      <c r="A1023" s="127"/>
      <c r="B1023" s="143"/>
      <c r="C1023" s="143"/>
      <c r="D1023" s="143"/>
      <c r="E1023" s="143"/>
      <c r="F1023" s="143"/>
      <c r="G1023" s="143"/>
      <c r="H1023" s="143"/>
      <c r="I1023" s="143"/>
      <c r="J1023" s="144"/>
    </row>
    <row r="1024" spans="1:10" ht="15" customHeight="1">
      <c r="A1024" s="127"/>
      <c r="B1024" s="143"/>
      <c r="C1024" s="143"/>
      <c r="D1024" s="143"/>
      <c r="E1024" s="143"/>
      <c r="F1024" s="143"/>
      <c r="G1024" s="143"/>
      <c r="H1024" s="143"/>
      <c r="I1024" s="143"/>
      <c r="J1024" s="144"/>
    </row>
    <row r="1025" spans="1:10" ht="15" customHeight="1">
      <c r="A1025" s="127"/>
      <c r="B1025" s="143"/>
      <c r="C1025" s="143"/>
      <c r="D1025" s="143"/>
      <c r="E1025" s="143"/>
      <c r="F1025" s="143"/>
      <c r="G1025" s="143"/>
      <c r="H1025" s="143"/>
      <c r="I1025" s="143"/>
      <c r="J1025" s="144"/>
    </row>
    <row r="1026" spans="1:10" ht="15" customHeight="1">
      <c r="A1026" s="145"/>
      <c r="B1026" s="143"/>
      <c r="C1026" s="143"/>
      <c r="D1026" s="143"/>
      <c r="E1026" s="143"/>
      <c r="F1026" s="143"/>
      <c r="G1026" s="143"/>
      <c r="H1026" s="143"/>
      <c r="I1026" s="143"/>
      <c r="J1026" s="144"/>
    </row>
    <row r="1027" spans="1:10" ht="15" customHeight="1">
      <c r="A1027" s="127"/>
      <c r="B1027" s="143"/>
      <c r="C1027" s="143"/>
      <c r="D1027" s="143"/>
      <c r="E1027" s="143"/>
      <c r="F1027" s="143"/>
      <c r="G1027" s="143"/>
      <c r="H1027" s="143"/>
      <c r="I1027" s="143"/>
      <c r="J1027" s="144"/>
    </row>
    <row r="1028" spans="1:10" ht="15" customHeight="1">
      <c r="A1028" s="146"/>
      <c r="B1028" s="147"/>
      <c r="C1028" s="147"/>
      <c r="D1028" s="147"/>
      <c r="E1028" s="147"/>
      <c r="F1028" s="147"/>
      <c r="G1028" s="147"/>
      <c r="H1028" s="147"/>
      <c r="I1028" s="147"/>
      <c r="J1028" s="148"/>
    </row>
    <row r="1030" spans="1:10" ht="15" customHeight="1">
      <c r="F1030" s="134"/>
      <c r="G1030" s="152" t="s">
        <v>2449</v>
      </c>
      <c r="H1030" s="152"/>
      <c r="I1030" s="152"/>
      <c r="J1030" s="155">
        <v>14750</v>
      </c>
    </row>
    <row r="1031" spans="1:10" ht="15" customHeight="1">
      <c r="F1031" s="134"/>
      <c r="G1031" s="132" t="s">
        <v>2463</v>
      </c>
      <c r="J1031" s="139">
        <v>5000</v>
      </c>
    </row>
    <row r="1032" spans="1:10" ht="15" customHeight="1">
      <c r="F1032" s="134"/>
      <c r="G1032" s="132" t="s">
        <v>2450</v>
      </c>
      <c r="J1032" s="140">
        <v>15000</v>
      </c>
    </row>
    <row r="1034" spans="1:10" ht="15" customHeight="1">
      <c r="E1034" s="1" t="s">
        <v>2451</v>
      </c>
      <c r="F1034" s="1" t="s">
        <v>2452</v>
      </c>
      <c r="G1034" s="132" t="s">
        <v>2453</v>
      </c>
      <c r="J1034" s="1" t="s">
        <v>2454</v>
      </c>
    </row>
    <row r="1035" spans="1:10" ht="15" customHeight="1">
      <c r="C1035" s="132" t="s">
        <v>2461</v>
      </c>
      <c r="E1035" s="150"/>
      <c r="F1035" s="150"/>
      <c r="G1035" s="138"/>
      <c r="H1035" s="141"/>
      <c r="J1035" s="139"/>
    </row>
    <row r="1036" spans="1:10" ht="15" customHeight="1">
      <c r="C1036" s="132" t="s">
        <v>2461</v>
      </c>
      <c r="E1036" s="150"/>
      <c r="F1036" s="150"/>
      <c r="G1036" s="138"/>
      <c r="H1036" s="141"/>
      <c r="J1036" s="139"/>
    </row>
    <row r="1037" spans="1:10" ht="15" customHeight="1">
      <c r="C1037" s="132" t="s">
        <v>2461</v>
      </c>
      <c r="E1037" s="150"/>
      <c r="F1037" s="150"/>
      <c r="G1037" s="138"/>
      <c r="H1037" s="141"/>
      <c r="J1037" s="139"/>
    </row>
    <row r="1038" spans="1:10" ht="15" customHeight="1">
      <c r="C1038" s="132" t="s">
        <v>2461</v>
      </c>
      <c r="E1038" s="150"/>
      <c r="F1038" s="150"/>
      <c r="G1038" s="138"/>
      <c r="H1038" s="141"/>
      <c r="J1038" s="139"/>
    </row>
    <row r="1039" spans="1:10" ht="15" customHeight="1">
      <c r="C1039" s="132" t="s">
        <v>2461</v>
      </c>
      <c r="E1039" s="150"/>
      <c r="F1039" s="150"/>
      <c r="G1039" s="138"/>
      <c r="H1039" s="141"/>
      <c r="J1039" s="139"/>
    </row>
    <row r="1040" spans="1:10" ht="15" customHeight="1">
      <c r="C1040" s="132" t="s">
        <v>2461</v>
      </c>
      <c r="E1040" s="150"/>
      <c r="F1040" s="150"/>
      <c r="G1040" s="138"/>
      <c r="H1040" s="141"/>
      <c r="J1040" s="139"/>
    </row>
    <row r="1041" spans="1:10" ht="15" customHeight="1">
      <c r="C1041" s="132" t="s">
        <v>2461</v>
      </c>
      <c r="E1041" s="150"/>
      <c r="F1041" s="150"/>
      <c r="G1041" s="138"/>
      <c r="H1041" s="141"/>
      <c r="J1041" s="139"/>
    </row>
    <row r="1042" spans="1:10" ht="15" customHeight="1">
      <c r="C1042" s="132" t="s">
        <v>2461</v>
      </c>
      <c r="E1042" s="150"/>
      <c r="F1042" s="150"/>
      <c r="G1042" s="138"/>
      <c r="H1042" s="141"/>
      <c r="J1042" s="139"/>
    </row>
    <row r="1043" spans="1:10" ht="15" customHeight="1">
      <c r="C1043" s="132" t="s">
        <v>2461</v>
      </c>
      <c r="E1043" s="150"/>
      <c r="F1043" s="150"/>
      <c r="G1043" s="138"/>
      <c r="H1043" s="141"/>
      <c r="J1043" s="139"/>
    </row>
    <row r="1044" spans="1:10" ht="15" customHeight="1">
      <c r="C1044" s="132" t="s">
        <v>2461</v>
      </c>
      <c r="E1044" s="150"/>
      <c r="F1044" s="150"/>
      <c r="G1044" s="138"/>
      <c r="H1044" s="141"/>
      <c r="J1044" s="139"/>
    </row>
    <row r="1045" spans="1:10" ht="15" customHeight="1">
      <c r="C1045" s="132" t="s">
        <v>2461</v>
      </c>
      <c r="E1045" s="150"/>
      <c r="F1045" s="150"/>
      <c r="G1045" s="138">
        <v>5569</v>
      </c>
      <c r="H1045" s="141"/>
      <c r="J1045" s="139">
        <v>14750</v>
      </c>
    </row>
    <row r="1046" spans="1:10" ht="15" customHeight="1">
      <c r="C1046" s="132" t="s">
        <v>2461</v>
      </c>
      <c r="E1046" s="150"/>
      <c r="F1046" s="150"/>
      <c r="G1046" s="138"/>
      <c r="H1046" s="141"/>
      <c r="I1046" s="131" t="s">
        <v>2462</v>
      </c>
      <c r="J1046" s="139">
        <v>-15000</v>
      </c>
    </row>
    <row r="1047" spans="1:10" ht="15" customHeight="1">
      <c r="E1047" s="154"/>
      <c r="F1047" s="154"/>
      <c r="G1047" s="154"/>
      <c r="H1047" s="154"/>
      <c r="I1047" s="154"/>
      <c r="J1047" s="154"/>
    </row>
    <row r="1048" spans="1:10" ht="15" customHeight="1">
      <c r="F1048" s="134"/>
      <c r="G1048" s="152" t="s">
        <v>2466</v>
      </c>
      <c r="H1048" s="152"/>
      <c r="I1048" s="152"/>
      <c r="J1048" s="153">
        <f>SUM(J1035:J1046)</f>
        <v>-250</v>
      </c>
    </row>
    <row r="1049" spans="1:10" ht="15" customHeight="1">
      <c r="F1049" s="134"/>
      <c r="G1049" s="152"/>
      <c r="H1049" s="152"/>
      <c r="I1049" s="152"/>
      <c r="J1049" s="157"/>
    </row>
    <row r="1050" spans="1:10" ht="15" customHeight="1">
      <c r="F1050" s="134"/>
      <c r="G1050" s="142" t="s">
        <v>2458</v>
      </c>
      <c r="H1050" s="142"/>
      <c r="I1050" s="142"/>
      <c r="J1050" s="156">
        <f>+J1048-J1030+J1032</f>
        <v>0</v>
      </c>
    </row>
    <row r="1054" spans="1:10" ht="15" customHeight="1">
      <c r="F1054" s="1"/>
    </row>
    <row r="1055" spans="1:10" ht="15" customHeight="1">
      <c r="F1055" s="1"/>
    </row>
    <row r="1056" spans="1:10" ht="15" customHeight="1">
      <c r="A1056" s="134"/>
    </row>
    <row r="1057" spans="1:10" ht="15" customHeight="1">
      <c r="A1057" s="134"/>
    </row>
    <row r="1058" spans="1:10" ht="15" customHeight="1">
      <c r="A1058" s="133"/>
    </row>
    <row r="1059" spans="1:10" ht="15" customHeight="1">
      <c r="A1059" s="133"/>
    </row>
    <row r="1060" spans="1:10" ht="15" customHeight="1">
      <c r="F1060" s="151" t="s">
        <v>2580</v>
      </c>
    </row>
    <row r="1061" spans="1:10" ht="15" customHeight="1">
      <c r="A1061" s="133"/>
    </row>
    <row r="1062" spans="1:10" ht="15" customHeight="1">
      <c r="A1062" s="133"/>
      <c r="F1062" s="151" t="s">
        <v>2447</v>
      </c>
    </row>
    <row r="1063" spans="1:10" ht="15" customHeight="1">
      <c r="A1063" s="133"/>
    </row>
    <row r="1064" spans="1:10" ht="15" customHeight="1">
      <c r="A1064" s="142"/>
      <c r="B1064" s="142"/>
      <c r="C1064" s="142"/>
      <c r="D1064" s="142"/>
      <c r="E1064" s="142"/>
      <c r="F1064" s="142"/>
      <c r="G1064" s="142"/>
      <c r="J1064" s="142"/>
    </row>
    <row r="1066" spans="1:10" ht="15" customHeight="1">
      <c r="A1066" s="132" t="s">
        <v>2448</v>
      </c>
      <c r="C1066" s="135" t="s">
        <v>2719</v>
      </c>
      <c r="D1066" s="136"/>
      <c r="E1066" s="137"/>
      <c r="G1066" s="149" t="s">
        <v>2465</v>
      </c>
      <c r="H1066" s="135" t="s">
        <v>2744</v>
      </c>
      <c r="I1066" s="136"/>
      <c r="J1066" s="137"/>
    </row>
    <row r="1068" spans="1:10" ht="15" customHeight="1">
      <c r="A1068" s="134" t="s">
        <v>2456</v>
      </c>
      <c r="C1068" s="135" t="s">
        <v>2668</v>
      </c>
      <c r="D1068" s="136"/>
      <c r="E1068" s="136"/>
      <c r="F1068" s="137"/>
      <c r="I1068" s="149" t="s">
        <v>2464</v>
      </c>
      <c r="J1068" s="150">
        <v>1</v>
      </c>
    </row>
    <row r="1069" spans="1:10" ht="15" customHeight="1">
      <c r="D1069" s="134"/>
    </row>
    <row r="1070" spans="1:10" ht="15" customHeight="1">
      <c r="A1070" s="132" t="s">
        <v>2459</v>
      </c>
      <c r="D1070" s="135" t="s">
        <v>2745</v>
      </c>
      <c r="E1070" s="136"/>
      <c r="F1070" s="136"/>
      <c r="G1070" s="136"/>
      <c r="H1070" s="136"/>
      <c r="I1070" s="136"/>
      <c r="J1070" s="137"/>
    </row>
    <row r="1072" spans="1:10" ht="15" customHeight="1">
      <c r="A1072" s="134" t="s">
        <v>2460</v>
      </c>
    </row>
    <row r="1073" spans="1:10" ht="15" customHeight="1">
      <c r="A1073" s="134"/>
    </row>
    <row r="1074" spans="1:10" ht="15" customHeight="1">
      <c r="A1074" s="130" t="s">
        <v>2746</v>
      </c>
      <c r="B1074" s="129"/>
      <c r="C1074" s="129"/>
      <c r="D1074" s="129"/>
      <c r="E1074" s="129"/>
      <c r="F1074" s="129"/>
      <c r="G1074" s="129"/>
      <c r="H1074" s="129"/>
      <c r="I1074" s="129"/>
      <c r="J1074" s="128"/>
    </row>
    <row r="1075" spans="1:10" ht="15" customHeight="1">
      <c r="A1075" s="127"/>
      <c r="B1075" s="143"/>
      <c r="C1075" s="143"/>
      <c r="D1075" s="143"/>
      <c r="E1075" s="143"/>
      <c r="F1075" s="143"/>
      <c r="G1075" s="143"/>
      <c r="H1075" s="143"/>
      <c r="I1075" s="143"/>
      <c r="J1075" s="144"/>
    </row>
    <row r="1076" spans="1:10" ht="15" customHeight="1">
      <c r="A1076" s="127"/>
      <c r="B1076" s="143"/>
      <c r="C1076" s="143"/>
      <c r="D1076" s="143"/>
      <c r="E1076" s="143"/>
      <c r="F1076" s="143"/>
      <c r="G1076" s="143"/>
      <c r="H1076" s="143"/>
      <c r="I1076" s="143"/>
      <c r="J1076" s="144"/>
    </row>
    <row r="1077" spans="1:10" ht="15" customHeight="1">
      <c r="A1077" s="127"/>
      <c r="B1077" s="143"/>
      <c r="C1077" s="143"/>
      <c r="D1077" s="143"/>
      <c r="E1077" s="143"/>
      <c r="F1077" s="143"/>
      <c r="G1077" s="143"/>
      <c r="H1077" s="143"/>
      <c r="I1077" s="143"/>
      <c r="J1077" s="144"/>
    </row>
    <row r="1078" spans="1:10" ht="15" customHeight="1">
      <c r="A1078" s="127"/>
      <c r="B1078" s="143"/>
      <c r="C1078" s="143"/>
      <c r="D1078" s="143"/>
      <c r="E1078" s="143"/>
      <c r="F1078" s="143"/>
      <c r="G1078" s="143"/>
      <c r="H1078" s="143"/>
      <c r="I1078" s="143"/>
      <c r="J1078" s="144"/>
    </row>
    <row r="1079" spans="1:10" ht="15" customHeight="1">
      <c r="A1079" s="127"/>
      <c r="B1079" s="143"/>
      <c r="C1079" s="143"/>
      <c r="D1079" s="143"/>
      <c r="E1079" s="143"/>
      <c r="F1079" s="143"/>
      <c r="G1079" s="143"/>
      <c r="H1079" s="143"/>
      <c r="I1079" s="143"/>
      <c r="J1079" s="144"/>
    </row>
    <row r="1080" spans="1:10" ht="15" customHeight="1">
      <c r="A1080" s="127"/>
      <c r="B1080" s="143"/>
      <c r="C1080" s="143"/>
      <c r="D1080" s="143"/>
      <c r="E1080" s="143"/>
      <c r="F1080" s="143"/>
      <c r="G1080" s="143"/>
      <c r="H1080" s="143"/>
      <c r="I1080" s="143"/>
      <c r="J1080" s="144"/>
    </row>
    <row r="1081" spans="1:10" ht="15" customHeight="1">
      <c r="A1081" s="127"/>
      <c r="B1081" s="143"/>
      <c r="C1081" s="143"/>
      <c r="D1081" s="143"/>
      <c r="E1081" s="143"/>
      <c r="F1081" s="143"/>
      <c r="G1081" s="143"/>
      <c r="H1081" s="143"/>
      <c r="I1081" s="143"/>
      <c r="J1081" s="144"/>
    </row>
    <row r="1082" spans="1:10" ht="15" customHeight="1">
      <c r="A1082" s="145"/>
      <c r="B1082" s="143"/>
      <c r="C1082" s="143"/>
      <c r="D1082" s="143"/>
      <c r="E1082" s="143"/>
      <c r="F1082" s="143"/>
      <c r="G1082" s="143"/>
      <c r="H1082" s="143"/>
      <c r="I1082" s="143"/>
      <c r="J1082" s="144"/>
    </row>
    <row r="1083" spans="1:10" ht="15" customHeight="1">
      <c r="A1083" s="127"/>
      <c r="B1083" s="143"/>
      <c r="C1083" s="143"/>
      <c r="D1083" s="143"/>
      <c r="E1083" s="143"/>
      <c r="F1083" s="143"/>
      <c r="G1083" s="143"/>
      <c r="H1083" s="143"/>
      <c r="I1083" s="143"/>
      <c r="J1083" s="144"/>
    </row>
    <row r="1084" spans="1:10" ht="15" customHeight="1">
      <c r="A1084" s="146"/>
      <c r="B1084" s="147"/>
      <c r="C1084" s="147"/>
      <c r="D1084" s="147"/>
      <c r="E1084" s="147"/>
      <c r="F1084" s="147"/>
      <c r="G1084" s="147"/>
      <c r="H1084" s="147"/>
      <c r="I1084" s="147"/>
      <c r="J1084" s="148"/>
    </row>
    <row r="1086" spans="1:10" ht="15" customHeight="1">
      <c r="F1086" s="134"/>
      <c r="G1086" s="152" t="s">
        <v>2449</v>
      </c>
      <c r="H1086" s="152"/>
      <c r="I1086" s="152"/>
      <c r="J1086" s="155">
        <v>5000</v>
      </c>
    </row>
    <row r="1087" spans="1:10" ht="15" customHeight="1">
      <c r="F1087" s="134"/>
      <c r="G1087" s="132" t="s">
        <v>2463</v>
      </c>
      <c r="J1087" s="139">
        <v>0</v>
      </c>
    </row>
    <row r="1088" spans="1:10" ht="15" customHeight="1">
      <c r="F1088" s="134"/>
      <c r="G1088" s="132" t="s">
        <v>2450</v>
      </c>
      <c r="J1088" s="140">
        <v>0</v>
      </c>
    </row>
    <row r="1090" spans="3:10" ht="15" customHeight="1">
      <c r="E1090" s="1" t="s">
        <v>2451</v>
      </c>
      <c r="F1090" s="1" t="s">
        <v>2452</v>
      </c>
      <c r="G1090" s="132" t="s">
        <v>2453</v>
      </c>
      <c r="J1090" s="1" t="s">
        <v>2454</v>
      </c>
    </row>
    <row r="1091" spans="3:10" ht="15" customHeight="1">
      <c r="C1091" s="132" t="s">
        <v>2461</v>
      </c>
      <c r="E1091" s="150"/>
      <c r="F1091" s="150"/>
      <c r="G1091" s="138"/>
      <c r="H1091" s="141"/>
      <c r="J1091" s="139"/>
    </row>
    <row r="1092" spans="3:10" ht="15" customHeight="1">
      <c r="C1092" s="132" t="s">
        <v>2461</v>
      </c>
      <c r="E1092" s="150"/>
      <c r="F1092" s="150"/>
      <c r="G1092" s="138"/>
      <c r="H1092" s="141"/>
      <c r="J1092" s="139"/>
    </row>
    <row r="1093" spans="3:10" ht="15" customHeight="1">
      <c r="C1093" s="132" t="s">
        <v>2461</v>
      </c>
      <c r="E1093" s="150"/>
      <c r="F1093" s="150"/>
      <c r="G1093" s="138"/>
      <c r="H1093" s="141"/>
      <c r="J1093" s="139"/>
    </row>
    <row r="1094" spans="3:10" ht="15" customHeight="1">
      <c r="C1094" s="132" t="s">
        <v>2461</v>
      </c>
      <c r="E1094" s="150"/>
      <c r="F1094" s="150"/>
      <c r="G1094" s="138"/>
      <c r="H1094" s="141"/>
      <c r="J1094" s="139"/>
    </row>
    <row r="1095" spans="3:10" ht="15" customHeight="1">
      <c r="C1095" s="132" t="s">
        <v>2461</v>
      </c>
      <c r="E1095" s="150"/>
      <c r="F1095" s="150"/>
      <c r="G1095" s="138"/>
      <c r="H1095" s="141"/>
      <c r="J1095" s="139"/>
    </row>
    <row r="1096" spans="3:10" ht="15" customHeight="1">
      <c r="C1096" s="132" t="s">
        <v>2461</v>
      </c>
      <c r="E1096" s="150"/>
      <c r="F1096" s="150"/>
      <c r="G1096" s="138"/>
      <c r="H1096" s="141"/>
      <c r="J1096" s="139"/>
    </row>
    <row r="1097" spans="3:10" ht="15" customHeight="1">
      <c r="C1097" s="132" t="s">
        <v>2461</v>
      </c>
      <c r="E1097" s="150"/>
      <c r="F1097" s="150"/>
      <c r="G1097" s="138"/>
      <c r="H1097" s="141"/>
      <c r="J1097" s="139"/>
    </row>
    <row r="1098" spans="3:10" ht="15" customHeight="1">
      <c r="C1098" s="132" t="s">
        <v>2461</v>
      </c>
      <c r="E1098" s="150"/>
      <c r="F1098" s="150"/>
      <c r="G1098" s="138"/>
      <c r="H1098" s="141"/>
      <c r="J1098" s="139"/>
    </row>
    <row r="1099" spans="3:10" ht="15" customHeight="1">
      <c r="C1099" s="132" t="s">
        <v>2461</v>
      </c>
      <c r="E1099" s="150"/>
      <c r="F1099" s="150"/>
      <c r="G1099" s="138"/>
      <c r="H1099" s="141"/>
      <c r="J1099" s="139"/>
    </row>
    <row r="1100" spans="3:10" ht="15" customHeight="1">
      <c r="C1100" s="132" t="s">
        <v>2461</v>
      </c>
      <c r="E1100" s="150"/>
      <c r="F1100" s="150"/>
      <c r="G1100" s="138"/>
      <c r="H1100" s="141"/>
      <c r="J1100" s="139"/>
    </row>
    <row r="1101" spans="3:10" ht="15" customHeight="1">
      <c r="C1101" s="132" t="s">
        <v>2461</v>
      </c>
      <c r="E1101" s="150"/>
      <c r="F1101" s="150"/>
      <c r="G1101" s="138">
        <v>5235</v>
      </c>
      <c r="H1101" s="141"/>
      <c r="J1101" s="139">
        <v>5000</v>
      </c>
    </row>
    <row r="1102" spans="3:10" ht="15" customHeight="1">
      <c r="C1102" s="132" t="s">
        <v>2461</v>
      </c>
      <c r="E1102" s="150"/>
      <c r="F1102" s="150"/>
      <c r="G1102" s="138"/>
      <c r="H1102" s="141"/>
      <c r="I1102" s="131" t="s">
        <v>2462</v>
      </c>
      <c r="J1102" s="139">
        <v>0</v>
      </c>
    </row>
    <row r="1103" spans="3:10" ht="15" customHeight="1">
      <c r="E1103" s="154"/>
      <c r="F1103" s="154"/>
      <c r="G1103" s="154"/>
      <c r="H1103" s="154"/>
      <c r="I1103" s="154"/>
      <c r="J1103" s="154"/>
    </row>
    <row r="1104" spans="3:10" ht="15" customHeight="1">
      <c r="F1104" s="134"/>
      <c r="G1104" s="152" t="s">
        <v>2466</v>
      </c>
      <c r="H1104" s="152"/>
      <c r="I1104" s="152"/>
      <c r="J1104" s="153">
        <f>SUM(J1091:J1102)</f>
        <v>5000</v>
      </c>
    </row>
    <row r="1105" spans="1:10" ht="15" customHeight="1">
      <c r="F1105" s="134"/>
      <c r="G1105" s="152"/>
      <c r="H1105" s="152"/>
      <c r="I1105" s="152"/>
      <c r="J1105" s="157"/>
    </row>
    <row r="1106" spans="1:10" ht="15" customHeight="1">
      <c r="F1106" s="134"/>
      <c r="G1106" s="142" t="s">
        <v>2458</v>
      </c>
      <c r="H1106" s="142"/>
      <c r="I1106" s="142"/>
      <c r="J1106" s="156">
        <f>+J1104-J1086+J1088</f>
        <v>0</v>
      </c>
    </row>
    <row r="1112" spans="1:10" ht="15" customHeight="1">
      <c r="F1112" s="1"/>
    </row>
    <row r="1113" spans="1:10" ht="15" customHeight="1">
      <c r="F1113" s="1"/>
    </row>
    <row r="1114" spans="1:10" ht="15" customHeight="1">
      <c r="A1114" s="134"/>
    </row>
    <row r="1115" spans="1:10" ht="15" customHeight="1">
      <c r="A1115" s="134"/>
    </row>
    <row r="1116" spans="1:10" ht="15" customHeight="1">
      <c r="A1116" s="133"/>
    </row>
    <row r="1117" spans="1:10" ht="15" customHeight="1">
      <c r="A1117" s="133"/>
    </row>
    <row r="1118" spans="1:10" ht="15" customHeight="1">
      <c r="F1118" s="151" t="s">
        <v>2580</v>
      </c>
    </row>
    <row r="1119" spans="1:10" ht="15" customHeight="1">
      <c r="A1119" s="133"/>
    </row>
    <row r="1120" spans="1:10" ht="15" customHeight="1">
      <c r="A1120" s="133"/>
      <c r="F1120" s="151" t="s">
        <v>2447</v>
      </c>
    </row>
    <row r="1121" spans="1:10" ht="15" customHeight="1">
      <c r="A1121" s="133"/>
    </row>
    <row r="1122" spans="1:10" ht="15" customHeight="1">
      <c r="A1122" s="142"/>
      <c r="B1122" s="142"/>
      <c r="C1122" s="142"/>
      <c r="D1122" s="142"/>
      <c r="E1122" s="142"/>
      <c r="F1122" s="142"/>
      <c r="G1122" s="142"/>
      <c r="J1122" s="142"/>
    </row>
    <row r="1124" spans="1:10" ht="15" customHeight="1">
      <c r="A1124" s="132" t="s">
        <v>2448</v>
      </c>
      <c r="C1124" s="135" t="s">
        <v>2666</v>
      </c>
      <c r="D1124" s="136"/>
      <c r="E1124" s="137"/>
      <c r="G1124" s="149" t="s">
        <v>2465</v>
      </c>
      <c r="H1124" s="135" t="s">
        <v>2747</v>
      </c>
      <c r="I1124" s="136"/>
      <c r="J1124" s="137"/>
    </row>
    <row r="1126" spans="1:10" ht="15" customHeight="1">
      <c r="A1126" s="134" t="s">
        <v>2456</v>
      </c>
      <c r="C1126" s="135" t="s">
        <v>2668</v>
      </c>
      <c r="D1126" s="136"/>
      <c r="E1126" s="136"/>
      <c r="F1126" s="137"/>
      <c r="I1126" s="149" t="s">
        <v>2464</v>
      </c>
      <c r="J1126" s="150">
        <v>1</v>
      </c>
    </row>
    <row r="1127" spans="1:10" ht="15" customHeight="1">
      <c r="D1127" s="134"/>
    </row>
    <row r="1128" spans="1:10" ht="15" customHeight="1">
      <c r="A1128" s="132" t="s">
        <v>2459</v>
      </c>
      <c r="D1128" s="135" t="s">
        <v>2748</v>
      </c>
      <c r="E1128" s="136"/>
      <c r="F1128" s="136"/>
      <c r="G1128" s="136"/>
      <c r="H1128" s="136"/>
      <c r="I1128" s="136"/>
      <c r="J1128" s="137"/>
    </row>
    <row r="1130" spans="1:10" ht="15" customHeight="1">
      <c r="A1130" s="134" t="s">
        <v>2460</v>
      </c>
    </row>
    <row r="1131" spans="1:10" ht="15" customHeight="1">
      <c r="A1131" s="134"/>
    </row>
    <row r="1132" spans="1:10" ht="15" customHeight="1">
      <c r="A1132" s="130" t="s">
        <v>2749</v>
      </c>
      <c r="B1132" s="129"/>
      <c r="C1132" s="129"/>
      <c r="D1132" s="129"/>
      <c r="E1132" s="129"/>
      <c r="F1132" s="129"/>
      <c r="G1132" s="129"/>
      <c r="H1132" s="129"/>
      <c r="I1132" s="129"/>
      <c r="J1132" s="128"/>
    </row>
    <row r="1133" spans="1:10" ht="15" customHeight="1">
      <c r="A1133" s="127"/>
      <c r="B1133" s="143"/>
      <c r="C1133" s="143"/>
      <c r="D1133" s="143"/>
      <c r="E1133" s="143"/>
      <c r="F1133" s="143"/>
      <c r="G1133" s="143"/>
      <c r="H1133" s="143"/>
      <c r="I1133" s="143"/>
      <c r="J1133" s="144"/>
    </row>
    <row r="1134" spans="1:10" ht="15" customHeight="1">
      <c r="A1134" s="127"/>
      <c r="B1134" s="143"/>
      <c r="C1134" s="143"/>
      <c r="D1134" s="143"/>
      <c r="E1134" s="143"/>
      <c r="F1134" s="143"/>
      <c r="G1134" s="143"/>
      <c r="H1134" s="143"/>
      <c r="I1134" s="143"/>
      <c r="J1134" s="144"/>
    </row>
    <row r="1135" spans="1:10" ht="15" customHeight="1">
      <c r="A1135" s="127"/>
      <c r="B1135" s="143"/>
      <c r="C1135" s="143"/>
      <c r="D1135" s="143"/>
      <c r="E1135" s="143"/>
      <c r="F1135" s="143"/>
      <c r="G1135" s="143"/>
      <c r="H1135" s="143"/>
      <c r="I1135" s="143"/>
      <c r="J1135" s="144"/>
    </row>
    <row r="1136" spans="1:10" ht="15" customHeight="1">
      <c r="A1136" s="127"/>
      <c r="B1136" s="143"/>
      <c r="C1136" s="143"/>
      <c r="D1136" s="143"/>
      <c r="E1136" s="143"/>
      <c r="F1136" s="143"/>
      <c r="G1136" s="143"/>
      <c r="H1136" s="143"/>
      <c r="I1136" s="143"/>
      <c r="J1136" s="144"/>
    </row>
    <row r="1137" spans="1:10" ht="15" customHeight="1">
      <c r="A1137" s="127"/>
      <c r="B1137" s="143"/>
      <c r="C1137" s="143"/>
      <c r="D1137" s="143"/>
      <c r="E1137" s="143"/>
      <c r="F1137" s="143"/>
      <c r="G1137" s="143"/>
      <c r="H1137" s="143"/>
      <c r="I1137" s="143"/>
      <c r="J1137" s="144"/>
    </row>
    <row r="1138" spans="1:10" ht="15" customHeight="1">
      <c r="A1138" s="127"/>
      <c r="B1138" s="143"/>
      <c r="C1138" s="143"/>
      <c r="D1138" s="143"/>
      <c r="E1138" s="143"/>
      <c r="F1138" s="143"/>
      <c r="G1138" s="143"/>
      <c r="H1138" s="143"/>
      <c r="I1138" s="143"/>
      <c r="J1138" s="144"/>
    </row>
    <row r="1139" spans="1:10" ht="15" customHeight="1">
      <c r="A1139" s="127"/>
      <c r="B1139" s="143"/>
      <c r="C1139" s="143"/>
      <c r="D1139" s="143"/>
      <c r="E1139" s="143"/>
      <c r="F1139" s="143"/>
      <c r="G1139" s="143"/>
      <c r="H1139" s="143"/>
      <c r="I1139" s="143"/>
      <c r="J1139" s="144"/>
    </row>
    <row r="1140" spans="1:10" ht="15" customHeight="1">
      <c r="A1140" s="145"/>
      <c r="B1140" s="143"/>
      <c r="C1140" s="143"/>
      <c r="D1140" s="143"/>
      <c r="E1140" s="143"/>
      <c r="F1140" s="143"/>
      <c r="G1140" s="143"/>
      <c r="H1140" s="143"/>
      <c r="I1140" s="143"/>
      <c r="J1140" s="144"/>
    </row>
    <row r="1141" spans="1:10" ht="15" customHeight="1">
      <c r="A1141" s="127"/>
      <c r="B1141" s="143"/>
      <c r="C1141" s="143"/>
      <c r="D1141" s="143"/>
      <c r="E1141" s="143"/>
      <c r="F1141" s="143"/>
      <c r="G1141" s="143"/>
      <c r="H1141" s="143"/>
      <c r="I1141" s="143"/>
      <c r="J1141" s="144"/>
    </row>
    <row r="1142" spans="1:10" ht="15" customHeight="1">
      <c r="A1142" s="146"/>
      <c r="B1142" s="147"/>
      <c r="C1142" s="147"/>
      <c r="D1142" s="147"/>
      <c r="E1142" s="147"/>
      <c r="F1142" s="147"/>
      <c r="G1142" s="147"/>
      <c r="H1142" s="147"/>
      <c r="I1142" s="147"/>
      <c r="J1142" s="148"/>
    </row>
    <row r="1144" spans="1:10" ht="15" customHeight="1">
      <c r="F1144" s="134"/>
      <c r="G1144" s="152" t="s">
        <v>2449</v>
      </c>
      <c r="H1144" s="152"/>
      <c r="I1144" s="152"/>
      <c r="J1144" s="155">
        <v>500</v>
      </c>
    </row>
    <row r="1145" spans="1:10" ht="15" customHeight="1">
      <c r="F1145" s="134"/>
      <c r="G1145" s="132" t="s">
        <v>2463</v>
      </c>
      <c r="J1145" s="139">
        <v>0</v>
      </c>
    </row>
    <row r="1146" spans="1:10" ht="15" customHeight="1">
      <c r="F1146" s="134"/>
      <c r="G1146" s="132" t="s">
        <v>2450</v>
      </c>
      <c r="J1146" s="140">
        <v>0</v>
      </c>
    </row>
    <row r="1148" spans="1:10" ht="15" customHeight="1">
      <c r="E1148" s="1" t="s">
        <v>2451</v>
      </c>
      <c r="F1148" s="1" t="s">
        <v>2452</v>
      </c>
      <c r="G1148" s="132" t="s">
        <v>2453</v>
      </c>
      <c r="J1148" s="1" t="s">
        <v>2454</v>
      </c>
    </row>
    <row r="1149" spans="1:10" ht="15" customHeight="1">
      <c r="C1149" s="132" t="s">
        <v>2461</v>
      </c>
      <c r="E1149" s="150"/>
      <c r="F1149" s="150"/>
      <c r="G1149" s="138"/>
      <c r="H1149" s="141"/>
      <c r="J1149" s="139"/>
    </row>
    <row r="1150" spans="1:10" ht="15" customHeight="1">
      <c r="C1150" s="132" t="s">
        <v>2461</v>
      </c>
      <c r="E1150" s="150"/>
      <c r="F1150" s="150"/>
      <c r="G1150" s="138"/>
      <c r="H1150" s="141"/>
      <c r="J1150" s="139"/>
    </row>
    <row r="1151" spans="1:10" ht="15" customHeight="1">
      <c r="C1151" s="132" t="s">
        <v>2461</v>
      </c>
      <c r="E1151" s="150"/>
      <c r="F1151" s="150"/>
      <c r="G1151" s="138"/>
      <c r="H1151" s="141"/>
      <c r="J1151" s="139"/>
    </row>
    <row r="1152" spans="1:10" ht="15" customHeight="1">
      <c r="C1152" s="132" t="s">
        <v>2461</v>
      </c>
      <c r="E1152" s="150"/>
      <c r="F1152" s="150"/>
      <c r="G1152" s="138"/>
      <c r="H1152" s="141"/>
      <c r="J1152" s="139"/>
    </row>
    <row r="1153" spans="3:10" ht="15" customHeight="1">
      <c r="C1153" s="132" t="s">
        <v>2461</v>
      </c>
      <c r="E1153" s="150"/>
      <c r="F1153" s="150"/>
      <c r="G1153" s="138"/>
      <c r="H1153" s="141"/>
      <c r="J1153" s="139"/>
    </row>
    <row r="1154" spans="3:10" ht="15" customHeight="1">
      <c r="C1154" s="132" t="s">
        <v>2461</v>
      </c>
      <c r="E1154" s="150"/>
      <c r="F1154" s="150"/>
      <c r="G1154" s="138"/>
      <c r="H1154" s="141"/>
      <c r="J1154" s="139"/>
    </row>
    <row r="1155" spans="3:10" ht="15" customHeight="1">
      <c r="C1155" s="132" t="s">
        <v>2461</v>
      </c>
      <c r="E1155" s="150"/>
      <c r="F1155" s="150"/>
      <c r="G1155" s="138"/>
      <c r="H1155" s="141"/>
      <c r="J1155" s="139"/>
    </row>
    <row r="1156" spans="3:10" ht="15" customHeight="1">
      <c r="C1156" s="132" t="s">
        <v>2461</v>
      </c>
      <c r="E1156" s="150"/>
      <c r="F1156" s="150"/>
      <c r="G1156" s="138"/>
      <c r="H1156" s="141"/>
      <c r="J1156" s="139"/>
    </row>
    <row r="1157" spans="3:10" ht="15" customHeight="1">
      <c r="C1157" s="132" t="s">
        <v>2461</v>
      </c>
      <c r="E1157" s="150"/>
      <c r="F1157" s="150"/>
      <c r="G1157" s="138"/>
      <c r="H1157" s="141"/>
      <c r="J1157" s="139"/>
    </row>
    <row r="1158" spans="3:10" ht="15" customHeight="1">
      <c r="C1158" s="132" t="s">
        <v>2461</v>
      </c>
      <c r="E1158" s="150"/>
      <c r="F1158" s="150"/>
      <c r="G1158" s="138"/>
      <c r="H1158" s="141"/>
      <c r="J1158" s="139"/>
    </row>
    <row r="1159" spans="3:10" ht="15" customHeight="1">
      <c r="C1159" s="132" t="s">
        <v>2461</v>
      </c>
      <c r="E1159" s="150"/>
      <c r="F1159" s="150"/>
      <c r="G1159" s="138">
        <v>5241</v>
      </c>
      <c r="H1159" s="141"/>
      <c r="J1159" s="139">
        <v>500</v>
      </c>
    </row>
    <row r="1160" spans="3:10" ht="15" customHeight="1">
      <c r="C1160" s="132" t="s">
        <v>2461</v>
      </c>
      <c r="E1160" s="150"/>
      <c r="F1160" s="150"/>
      <c r="G1160" s="138"/>
      <c r="H1160" s="141"/>
      <c r="I1160" s="131" t="s">
        <v>2462</v>
      </c>
      <c r="J1160" s="139">
        <v>0</v>
      </c>
    </row>
    <row r="1161" spans="3:10" ht="15" customHeight="1">
      <c r="E1161" s="154"/>
      <c r="F1161" s="154"/>
      <c r="G1161" s="154"/>
      <c r="H1161" s="154"/>
      <c r="I1161" s="154"/>
      <c r="J1161" s="154"/>
    </row>
    <row r="1162" spans="3:10" ht="15" customHeight="1">
      <c r="F1162" s="134"/>
      <c r="G1162" s="152" t="s">
        <v>2466</v>
      </c>
      <c r="H1162" s="152"/>
      <c r="I1162" s="152"/>
      <c r="J1162" s="153">
        <f>SUM(J1149:J1160)</f>
        <v>500</v>
      </c>
    </row>
    <row r="1163" spans="3:10" ht="15" customHeight="1">
      <c r="F1163" s="134"/>
      <c r="G1163" s="152"/>
      <c r="H1163" s="152"/>
      <c r="I1163" s="152"/>
      <c r="J1163" s="157"/>
    </row>
    <row r="1164" spans="3:10" ht="15" customHeight="1">
      <c r="F1164" s="134"/>
      <c r="G1164" s="142" t="s">
        <v>2458</v>
      </c>
      <c r="H1164" s="142"/>
      <c r="I1164" s="142"/>
      <c r="J1164" s="156">
        <f>+J1162-J1144+J1146</f>
        <v>0</v>
      </c>
    </row>
    <row r="1169" spans="1:10" ht="15" customHeight="1">
      <c r="F1169" s="1"/>
    </row>
    <row r="1170" spans="1:10" ht="15" customHeight="1">
      <c r="F1170" s="1"/>
    </row>
    <row r="1171" spans="1:10" ht="15" customHeight="1">
      <c r="A1171" s="134"/>
    </row>
    <row r="1172" spans="1:10" ht="15" customHeight="1">
      <c r="A1172" s="134"/>
    </row>
    <row r="1173" spans="1:10" ht="15" customHeight="1">
      <c r="A1173" s="133"/>
    </row>
    <row r="1174" spans="1:10" ht="15" customHeight="1">
      <c r="A1174" s="133"/>
    </row>
    <row r="1175" spans="1:10" ht="15" customHeight="1">
      <c r="F1175" s="151" t="s">
        <v>2580</v>
      </c>
    </row>
    <row r="1176" spans="1:10" ht="15" customHeight="1">
      <c r="A1176" s="133"/>
    </row>
    <row r="1177" spans="1:10" ht="15" customHeight="1">
      <c r="A1177" s="133"/>
      <c r="F1177" s="151" t="s">
        <v>2447</v>
      </c>
    </row>
    <row r="1178" spans="1:10" ht="15" customHeight="1">
      <c r="A1178" s="133"/>
    </row>
    <row r="1179" spans="1:10" ht="15" customHeight="1">
      <c r="A1179" s="142"/>
      <c r="B1179" s="142"/>
      <c r="C1179" s="142"/>
      <c r="D1179" s="142"/>
      <c r="E1179" s="142"/>
      <c r="F1179" s="142"/>
      <c r="G1179" s="142"/>
      <c r="J1179" s="142"/>
    </row>
    <row r="1181" spans="1:10" ht="15" customHeight="1">
      <c r="A1181" s="132" t="s">
        <v>2448</v>
      </c>
      <c r="C1181" s="135" t="s">
        <v>2666</v>
      </c>
      <c r="D1181" s="136"/>
      <c r="E1181" s="137"/>
      <c r="G1181" s="149" t="s">
        <v>2465</v>
      </c>
      <c r="H1181" s="135" t="s">
        <v>2747</v>
      </c>
      <c r="I1181" s="136"/>
      <c r="J1181" s="137"/>
    </row>
    <row r="1183" spans="1:10" ht="15" customHeight="1">
      <c r="A1183" s="134" t="s">
        <v>2456</v>
      </c>
      <c r="C1183" s="135" t="s">
        <v>2668</v>
      </c>
      <c r="D1183" s="136"/>
      <c r="E1183" s="136"/>
      <c r="F1183" s="137"/>
      <c r="I1183" s="149" t="s">
        <v>2464</v>
      </c>
      <c r="J1183" s="150">
        <v>1</v>
      </c>
    </row>
    <row r="1184" spans="1:10" ht="15" customHeight="1">
      <c r="D1184" s="134"/>
    </row>
    <row r="1185" spans="1:10" ht="15" customHeight="1">
      <c r="A1185" s="132" t="s">
        <v>2459</v>
      </c>
      <c r="D1185" s="135" t="s">
        <v>2750</v>
      </c>
      <c r="E1185" s="136"/>
      <c r="F1185" s="136"/>
      <c r="G1185" s="136"/>
      <c r="H1185" s="136"/>
      <c r="I1185" s="136"/>
      <c r="J1185" s="137"/>
    </row>
    <row r="1187" spans="1:10" ht="15" customHeight="1">
      <c r="A1187" s="134" t="s">
        <v>2460</v>
      </c>
    </row>
    <row r="1188" spans="1:10" ht="15" customHeight="1">
      <c r="A1188" s="134"/>
    </row>
    <row r="1189" spans="1:10" ht="15" customHeight="1">
      <c r="A1189" s="130" t="s">
        <v>2751</v>
      </c>
      <c r="B1189" s="129"/>
      <c r="C1189" s="129"/>
      <c r="D1189" s="129"/>
      <c r="E1189" s="129"/>
      <c r="F1189" s="129"/>
      <c r="G1189" s="129"/>
      <c r="H1189" s="129"/>
      <c r="I1189" s="129"/>
      <c r="J1189" s="128"/>
    </row>
    <row r="1190" spans="1:10" ht="15" customHeight="1">
      <c r="A1190" s="127"/>
      <c r="B1190" s="143"/>
      <c r="C1190" s="143"/>
      <c r="D1190" s="143"/>
      <c r="E1190" s="143"/>
      <c r="F1190" s="143"/>
      <c r="G1190" s="143"/>
      <c r="H1190" s="143"/>
      <c r="I1190" s="143"/>
      <c r="J1190" s="144"/>
    </row>
    <row r="1191" spans="1:10" ht="15" customHeight="1">
      <c r="A1191" s="127"/>
      <c r="B1191" s="143"/>
      <c r="C1191" s="143"/>
      <c r="D1191" s="143"/>
      <c r="E1191" s="143"/>
      <c r="F1191" s="143"/>
      <c r="G1191" s="143"/>
      <c r="H1191" s="143"/>
      <c r="I1191" s="143"/>
      <c r="J1191" s="144"/>
    </row>
    <row r="1192" spans="1:10" ht="15" customHeight="1">
      <c r="A1192" s="127"/>
      <c r="B1192" s="143"/>
      <c r="C1192" s="143"/>
      <c r="D1192" s="143"/>
      <c r="E1192" s="143"/>
      <c r="F1192" s="143"/>
      <c r="G1192" s="143"/>
      <c r="H1192" s="143"/>
      <c r="I1192" s="143"/>
      <c r="J1192" s="144"/>
    </row>
    <row r="1193" spans="1:10" ht="15" customHeight="1">
      <c r="A1193" s="127"/>
      <c r="B1193" s="143"/>
      <c r="C1193" s="143"/>
      <c r="D1193" s="143"/>
      <c r="E1193" s="143"/>
      <c r="F1193" s="143"/>
      <c r="G1193" s="143"/>
      <c r="H1193" s="143"/>
      <c r="I1193" s="143"/>
      <c r="J1193" s="144"/>
    </row>
    <row r="1194" spans="1:10" ht="15" customHeight="1">
      <c r="A1194" s="127"/>
      <c r="B1194" s="143"/>
      <c r="C1194" s="143"/>
      <c r="D1194" s="143"/>
      <c r="E1194" s="143"/>
      <c r="F1194" s="143"/>
      <c r="G1194" s="143"/>
      <c r="H1194" s="143"/>
      <c r="I1194" s="143"/>
      <c r="J1194" s="144"/>
    </row>
    <row r="1195" spans="1:10" ht="15" customHeight="1">
      <c r="A1195" s="127"/>
      <c r="B1195" s="143"/>
      <c r="C1195" s="143"/>
      <c r="D1195" s="143"/>
      <c r="E1195" s="143"/>
      <c r="F1195" s="143"/>
      <c r="G1195" s="143"/>
      <c r="H1195" s="143"/>
      <c r="I1195" s="143"/>
      <c r="J1195" s="144"/>
    </row>
    <row r="1196" spans="1:10" ht="15" customHeight="1">
      <c r="A1196" s="127"/>
      <c r="B1196" s="143"/>
      <c r="C1196" s="143"/>
      <c r="D1196" s="143"/>
      <c r="E1196" s="143"/>
      <c r="F1196" s="143"/>
      <c r="G1196" s="143"/>
      <c r="H1196" s="143"/>
      <c r="I1196" s="143"/>
      <c r="J1196" s="144"/>
    </row>
    <row r="1197" spans="1:10" ht="15" customHeight="1">
      <c r="A1197" s="145"/>
      <c r="B1197" s="143"/>
      <c r="C1197" s="143"/>
      <c r="D1197" s="143"/>
      <c r="E1197" s="143"/>
      <c r="F1197" s="143"/>
      <c r="G1197" s="143"/>
      <c r="H1197" s="143"/>
      <c r="I1197" s="143"/>
      <c r="J1197" s="144"/>
    </row>
    <row r="1198" spans="1:10" ht="15" customHeight="1">
      <c r="A1198" s="127"/>
      <c r="B1198" s="143"/>
      <c r="C1198" s="143"/>
      <c r="D1198" s="143"/>
      <c r="E1198" s="143"/>
      <c r="F1198" s="143"/>
      <c r="G1198" s="143"/>
      <c r="H1198" s="143"/>
      <c r="I1198" s="143"/>
      <c r="J1198" s="144"/>
    </row>
    <row r="1199" spans="1:10" ht="15" customHeight="1">
      <c r="A1199" s="146"/>
      <c r="B1199" s="147"/>
      <c r="C1199" s="147"/>
      <c r="D1199" s="147"/>
      <c r="E1199" s="147"/>
      <c r="F1199" s="147"/>
      <c r="G1199" s="147"/>
      <c r="H1199" s="147"/>
      <c r="I1199" s="147"/>
      <c r="J1199" s="148"/>
    </row>
    <row r="1201" spans="3:10" ht="15" customHeight="1">
      <c r="F1201" s="134"/>
      <c r="G1201" s="152" t="s">
        <v>2449</v>
      </c>
      <c r="H1201" s="152"/>
      <c r="I1201" s="152"/>
      <c r="J1201" s="155">
        <v>3000</v>
      </c>
    </row>
    <row r="1202" spans="3:10" ht="15" customHeight="1">
      <c r="F1202" s="134"/>
      <c r="G1202" s="132" t="s">
        <v>2463</v>
      </c>
      <c r="J1202" s="139">
        <v>0</v>
      </c>
    </row>
    <row r="1203" spans="3:10" ht="15" customHeight="1">
      <c r="F1203" s="134"/>
      <c r="G1203" s="132" t="s">
        <v>2450</v>
      </c>
      <c r="J1203" s="140">
        <v>0</v>
      </c>
    </row>
    <row r="1205" spans="3:10" ht="15" customHeight="1">
      <c r="E1205" s="1" t="s">
        <v>2451</v>
      </c>
      <c r="F1205" s="1" t="s">
        <v>2452</v>
      </c>
      <c r="G1205" s="132" t="s">
        <v>2453</v>
      </c>
      <c r="J1205" s="1" t="s">
        <v>2454</v>
      </c>
    </row>
    <row r="1206" spans="3:10" ht="15" customHeight="1">
      <c r="C1206" s="132" t="s">
        <v>2461</v>
      </c>
      <c r="E1206" s="150"/>
      <c r="F1206" s="150"/>
      <c r="G1206" s="138"/>
      <c r="H1206" s="141"/>
      <c r="J1206" s="139"/>
    </row>
    <row r="1207" spans="3:10" ht="15" customHeight="1">
      <c r="C1207" s="132" t="s">
        <v>2461</v>
      </c>
      <c r="E1207" s="150"/>
      <c r="F1207" s="150"/>
      <c r="G1207" s="138"/>
      <c r="H1207" s="141"/>
      <c r="J1207" s="139"/>
    </row>
    <row r="1208" spans="3:10" ht="15" customHeight="1">
      <c r="C1208" s="132" t="s">
        <v>2461</v>
      </c>
      <c r="E1208" s="150"/>
      <c r="F1208" s="150"/>
      <c r="G1208" s="138"/>
      <c r="H1208" s="141"/>
      <c r="J1208" s="139"/>
    </row>
    <row r="1209" spans="3:10" ht="15" customHeight="1">
      <c r="C1209" s="132" t="s">
        <v>2461</v>
      </c>
      <c r="E1209" s="150"/>
      <c r="F1209" s="150"/>
      <c r="G1209" s="138"/>
      <c r="H1209" s="141"/>
      <c r="J1209" s="139"/>
    </row>
    <row r="1210" spans="3:10" ht="15" customHeight="1">
      <c r="C1210" s="132" t="s">
        <v>2461</v>
      </c>
      <c r="E1210" s="150"/>
      <c r="F1210" s="150"/>
      <c r="G1210" s="138"/>
      <c r="H1210" s="141"/>
      <c r="J1210" s="139"/>
    </row>
    <row r="1211" spans="3:10" ht="15" customHeight="1">
      <c r="C1211" s="132" t="s">
        <v>2461</v>
      </c>
      <c r="E1211" s="150"/>
      <c r="F1211" s="150"/>
      <c r="G1211" s="138"/>
      <c r="H1211" s="141"/>
      <c r="J1211" s="139"/>
    </row>
    <row r="1212" spans="3:10" ht="15" customHeight="1">
      <c r="C1212" s="132" t="s">
        <v>2461</v>
      </c>
      <c r="E1212" s="150"/>
      <c r="F1212" s="150"/>
      <c r="G1212" s="138"/>
      <c r="H1212" s="141"/>
      <c r="J1212" s="139"/>
    </row>
    <row r="1213" spans="3:10" ht="15" customHeight="1">
      <c r="C1213" s="132" t="s">
        <v>2461</v>
      </c>
      <c r="E1213" s="150"/>
      <c r="F1213" s="150"/>
      <c r="G1213" s="138"/>
      <c r="H1213" s="141"/>
      <c r="J1213" s="139"/>
    </row>
    <row r="1214" spans="3:10" ht="15" customHeight="1">
      <c r="C1214" s="132" t="s">
        <v>2461</v>
      </c>
      <c r="E1214" s="150"/>
      <c r="F1214" s="150"/>
      <c r="G1214" s="138"/>
      <c r="H1214" s="141"/>
      <c r="J1214" s="139"/>
    </row>
    <row r="1215" spans="3:10" ht="15" customHeight="1">
      <c r="C1215" s="132" t="s">
        <v>2461</v>
      </c>
      <c r="E1215" s="150"/>
      <c r="F1215" s="150"/>
      <c r="G1215" s="138"/>
      <c r="H1215" s="141"/>
      <c r="J1215" s="139"/>
    </row>
    <row r="1216" spans="3:10" ht="15" customHeight="1">
      <c r="C1216" s="132" t="s">
        <v>2461</v>
      </c>
      <c r="E1216" s="150"/>
      <c r="F1216" s="150"/>
      <c r="G1216" s="138">
        <v>5275</v>
      </c>
      <c r="H1216" s="141"/>
      <c r="J1216" s="139">
        <v>3000</v>
      </c>
    </row>
    <row r="1217" spans="1:10" ht="15" customHeight="1">
      <c r="C1217" s="132" t="s">
        <v>2461</v>
      </c>
      <c r="E1217" s="150"/>
      <c r="F1217" s="150"/>
      <c r="G1217" s="138"/>
      <c r="H1217" s="141"/>
      <c r="I1217" s="131" t="s">
        <v>2462</v>
      </c>
      <c r="J1217" s="139">
        <v>0</v>
      </c>
    </row>
    <row r="1218" spans="1:10" ht="15" customHeight="1">
      <c r="E1218" s="154"/>
      <c r="F1218" s="154"/>
      <c r="G1218" s="154"/>
      <c r="H1218" s="154"/>
      <c r="I1218" s="154"/>
      <c r="J1218" s="154"/>
    </row>
    <row r="1219" spans="1:10" ht="15" customHeight="1">
      <c r="F1219" s="134"/>
      <c r="G1219" s="152" t="s">
        <v>2466</v>
      </c>
      <c r="H1219" s="152"/>
      <c r="I1219" s="152"/>
      <c r="J1219" s="153">
        <f>SUM(J1206:J1217)</f>
        <v>3000</v>
      </c>
    </row>
    <row r="1220" spans="1:10" ht="15" customHeight="1">
      <c r="F1220" s="134"/>
      <c r="G1220" s="152"/>
      <c r="H1220" s="152"/>
      <c r="I1220" s="152"/>
      <c r="J1220" s="157"/>
    </row>
    <row r="1221" spans="1:10" ht="15" customHeight="1">
      <c r="F1221" s="134"/>
      <c r="G1221" s="142" t="s">
        <v>2458</v>
      </c>
      <c r="H1221" s="142"/>
      <c r="I1221" s="142"/>
      <c r="J1221" s="156">
        <f>+J1219-J1201+J1203</f>
        <v>0</v>
      </c>
    </row>
    <row r="1225" spans="1:10" ht="15" customHeight="1">
      <c r="F1225" s="1"/>
    </row>
    <row r="1226" spans="1:10" ht="15" customHeight="1">
      <c r="F1226" s="1"/>
    </row>
    <row r="1227" spans="1:10" ht="15" customHeight="1">
      <c r="A1227" s="134"/>
    </row>
    <row r="1228" spans="1:10" ht="15" customHeight="1">
      <c r="A1228" s="134"/>
    </row>
    <row r="1229" spans="1:10" ht="15" customHeight="1">
      <c r="A1229" s="133"/>
    </row>
    <row r="1230" spans="1:10" ht="15" customHeight="1">
      <c r="A1230" s="133"/>
    </row>
    <row r="1231" spans="1:10" ht="15" customHeight="1">
      <c r="F1231" s="151" t="s">
        <v>2580</v>
      </c>
    </row>
    <row r="1232" spans="1:10" ht="15" customHeight="1">
      <c r="A1232" s="133"/>
    </row>
    <row r="1233" spans="1:10" ht="15" customHeight="1">
      <c r="A1233" s="133"/>
      <c r="F1233" s="151" t="s">
        <v>2447</v>
      </c>
    </row>
    <row r="1234" spans="1:10" ht="15" customHeight="1">
      <c r="A1234" s="133"/>
    </row>
    <row r="1235" spans="1:10" ht="15" customHeight="1">
      <c r="A1235" s="142"/>
      <c r="B1235" s="142"/>
      <c r="C1235" s="142"/>
      <c r="D1235" s="142"/>
      <c r="E1235" s="142"/>
      <c r="F1235" s="142"/>
      <c r="G1235" s="142"/>
      <c r="J1235" s="142"/>
    </row>
    <row r="1237" spans="1:10" ht="15" customHeight="1">
      <c r="A1237" s="132" t="s">
        <v>2448</v>
      </c>
      <c r="C1237" s="135" t="s">
        <v>2813</v>
      </c>
      <c r="D1237" s="136"/>
      <c r="E1237" s="137"/>
      <c r="G1237" s="149" t="s">
        <v>2465</v>
      </c>
      <c r="H1237" s="135" t="s">
        <v>2814</v>
      </c>
      <c r="I1237" s="136"/>
      <c r="J1237" s="137"/>
    </row>
    <row r="1239" spans="1:10" ht="15" customHeight="1">
      <c r="A1239" s="134" t="s">
        <v>2456</v>
      </c>
      <c r="C1239" s="135" t="s">
        <v>2457</v>
      </c>
      <c r="D1239" s="136"/>
      <c r="E1239" s="136"/>
      <c r="F1239" s="137"/>
      <c r="I1239" s="149" t="s">
        <v>2464</v>
      </c>
      <c r="J1239" s="150">
        <v>1</v>
      </c>
    </row>
    <row r="1240" spans="1:10" ht="15" customHeight="1">
      <c r="D1240" s="134"/>
    </row>
    <row r="1241" spans="1:10" ht="15" customHeight="1">
      <c r="A1241" s="132" t="s">
        <v>2459</v>
      </c>
      <c r="D1241" s="135" t="s">
        <v>2815</v>
      </c>
      <c r="E1241" s="136"/>
      <c r="F1241" s="136"/>
      <c r="G1241" s="136"/>
      <c r="H1241" s="136"/>
      <c r="I1241" s="136"/>
      <c r="J1241" s="137"/>
    </row>
    <row r="1243" spans="1:10" ht="15" customHeight="1">
      <c r="A1243" s="134" t="s">
        <v>2460</v>
      </c>
    </row>
    <row r="1244" spans="1:10" ht="15" customHeight="1">
      <c r="A1244" s="134"/>
    </row>
    <row r="1245" spans="1:10" ht="15" customHeight="1">
      <c r="A1245" s="130" t="s">
        <v>2816</v>
      </c>
      <c r="B1245" s="129"/>
      <c r="C1245" s="129"/>
      <c r="D1245" s="129"/>
      <c r="E1245" s="129"/>
      <c r="F1245" s="129"/>
      <c r="G1245" s="129"/>
      <c r="H1245" s="129"/>
      <c r="I1245" s="129"/>
      <c r="J1245" s="128"/>
    </row>
    <row r="1246" spans="1:10" ht="15" customHeight="1">
      <c r="A1246" s="127" t="s">
        <v>2817</v>
      </c>
      <c r="B1246" s="143"/>
      <c r="C1246" s="143"/>
      <c r="D1246" s="143"/>
      <c r="E1246" s="143"/>
      <c r="F1246" s="143"/>
      <c r="G1246" s="143"/>
      <c r="H1246" s="143"/>
      <c r="I1246" s="143"/>
      <c r="J1246" s="144"/>
    </row>
    <row r="1247" spans="1:10" ht="15" customHeight="1">
      <c r="A1247" s="127" t="s">
        <v>2818</v>
      </c>
      <c r="B1247" s="143"/>
      <c r="C1247" s="143"/>
      <c r="D1247" s="143"/>
      <c r="E1247" s="143"/>
      <c r="F1247" s="143"/>
      <c r="G1247" s="143"/>
      <c r="H1247" s="143"/>
      <c r="I1247" s="143"/>
      <c r="J1247" s="144"/>
    </row>
    <row r="1248" spans="1:10" ht="15" customHeight="1">
      <c r="A1248" s="127" t="s">
        <v>2819</v>
      </c>
      <c r="B1248" s="143"/>
      <c r="C1248" s="143"/>
      <c r="D1248" s="143"/>
      <c r="E1248" s="143"/>
      <c r="F1248" s="143"/>
      <c r="G1248" s="143"/>
      <c r="H1248" s="143"/>
      <c r="I1248" s="143"/>
      <c r="J1248" s="144"/>
    </row>
    <row r="1249" spans="1:10" ht="15" customHeight="1">
      <c r="A1249" s="127" t="s">
        <v>2820</v>
      </c>
      <c r="B1249" s="143"/>
      <c r="C1249" s="143"/>
      <c r="D1249" s="143"/>
      <c r="E1249" s="143"/>
      <c r="F1249" s="143"/>
      <c r="G1249" s="143"/>
      <c r="H1249" s="143"/>
      <c r="I1249" s="143"/>
      <c r="J1249" s="144"/>
    </row>
    <row r="1250" spans="1:10" ht="15" customHeight="1">
      <c r="A1250" s="127"/>
      <c r="B1250" s="143"/>
      <c r="C1250" s="143"/>
      <c r="D1250" s="143"/>
      <c r="E1250" s="143"/>
      <c r="F1250" s="143"/>
      <c r="G1250" s="143"/>
      <c r="H1250" s="143"/>
      <c r="I1250" s="143"/>
      <c r="J1250" s="144"/>
    </row>
    <row r="1251" spans="1:10" ht="15" customHeight="1">
      <c r="A1251" s="127"/>
      <c r="B1251" s="143"/>
      <c r="C1251" s="143"/>
      <c r="D1251" s="143"/>
      <c r="E1251" s="143"/>
      <c r="F1251" s="143"/>
      <c r="G1251" s="143"/>
      <c r="H1251" s="143"/>
      <c r="I1251" s="143"/>
      <c r="J1251" s="144"/>
    </row>
    <row r="1252" spans="1:10" ht="15" customHeight="1">
      <c r="A1252" s="127"/>
      <c r="B1252" s="143"/>
      <c r="C1252" s="143"/>
      <c r="D1252" s="143"/>
      <c r="E1252" s="143"/>
      <c r="F1252" s="143"/>
      <c r="G1252" s="143"/>
      <c r="H1252" s="143"/>
      <c r="I1252" s="143"/>
      <c r="J1252" s="144"/>
    </row>
    <row r="1253" spans="1:10" ht="15" customHeight="1">
      <c r="A1253" s="145"/>
      <c r="B1253" s="143"/>
      <c r="C1253" s="143"/>
      <c r="D1253" s="143"/>
      <c r="E1253" s="143"/>
      <c r="F1253" s="143"/>
      <c r="G1253" s="143"/>
      <c r="H1253" s="143"/>
      <c r="I1253" s="143"/>
      <c r="J1253" s="144"/>
    </row>
    <row r="1254" spans="1:10" ht="15" customHeight="1">
      <c r="A1254" s="127"/>
      <c r="B1254" s="143"/>
      <c r="C1254" s="143"/>
      <c r="D1254" s="143"/>
      <c r="E1254" s="143"/>
      <c r="F1254" s="143"/>
      <c r="G1254" s="143"/>
      <c r="H1254" s="143"/>
      <c r="I1254" s="143"/>
      <c r="J1254" s="144"/>
    </row>
    <row r="1255" spans="1:10" ht="15" customHeight="1">
      <c r="A1255" s="146"/>
      <c r="B1255" s="147"/>
      <c r="C1255" s="147"/>
      <c r="D1255" s="147"/>
      <c r="E1255" s="147"/>
      <c r="F1255" s="147"/>
      <c r="G1255" s="147"/>
      <c r="H1255" s="147"/>
      <c r="I1255" s="147"/>
      <c r="J1255" s="148"/>
    </row>
    <row r="1257" spans="1:10" ht="15" customHeight="1">
      <c r="F1257" s="134"/>
      <c r="G1257" s="152" t="s">
        <v>2449</v>
      </c>
      <c r="H1257" s="152"/>
      <c r="I1257" s="152"/>
      <c r="J1257" s="155">
        <v>140000</v>
      </c>
    </row>
    <row r="1258" spans="1:10" ht="15" customHeight="1">
      <c r="F1258" s="134"/>
      <c r="G1258" s="132" t="s">
        <v>2463</v>
      </c>
      <c r="J1258" s="139">
        <v>5000</v>
      </c>
    </row>
    <row r="1259" spans="1:10" ht="15" customHeight="1">
      <c r="F1259" s="134"/>
      <c r="G1259" s="132" t="s">
        <v>2450</v>
      </c>
      <c r="J1259" s="140">
        <v>15000</v>
      </c>
    </row>
    <row r="1261" spans="1:10" ht="15" customHeight="1">
      <c r="E1261" s="1" t="s">
        <v>2451</v>
      </c>
      <c r="F1261" s="1" t="s">
        <v>2452</v>
      </c>
      <c r="G1261" s="132" t="s">
        <v>2453</v>
      </c>
      <c r="J1261" s="1" t="s">
        <v>2454</v>
      </c>
    </row>
    <row r="1262" spans="1:10" ht="15" customHeight="1">
      <c r="C1262" s="132" t="s">
        <v>2461</v>
      </c>
      <c r="E1262" s="150">
        <v>5567</v>
      </c>
      <c r="F1262" s="150">
        <v>125</v>
      </c>
      <c r="G1262" s="138"/>
      <c r="H1262" s="141"/>
      <c r="J1262" s="139">
        <v>135000</v>
      </c>
    </row>
    <row r="1263" spans="1:10" ht="15" customHeight="1">
      <c r="C1263" s="132" t="s">
        <v>2461</v>
      </c>
      <c r="E1263" s="150"/>
      <c r="F1263" s="150"/>
      <c r="G1263" s="138"/>
      <c r="H1263" s="141"/>
      <c r="J1263" s="139"/>
    </row>
    <row r="1264" spans="1:10" ht="15" customHeight="1">
      <c r="C1264" s="132" t="s">
        <v>2461</v>
      </c>
      <c r="E1264" s="150"/>
      <c r="F1264" s="150"/>
      <c r="G1264" s="138"/>
      <c r="H1264" s="141"/>
      <c r="J1264" s="139"/>
    </row>
    <row r="1265" spans="3:10" ht="15" customHeight="1">
      <c r="C1265" s="132" t="s">
        <v>2461</v>
      </c>
      <c r="E1265" s="150"/>
      <c r="F1265" s="150"/>
      <c r="G1265" s="138"/>
      <c r="H1265" s="141"/>
      <c r="J1265" s="139"/>
    </row>
    <row r="1266" spans="3:10" ht="15" customHeight="1">
      <c r="C1266" s="132" t="s">
        <v>2461</v>
      </c>
      <c r="E1266" s="150"/>
      <c r="F1266" s="150"/>
      <c r="G1266" s="138"/>
      <c r="H1266" s="141"/>
      <c r="J1266" s="139"/>
    </row>
    <row r="1267" spans="3:10" ht="15" customHeight="1">
      <c r="C1267" s="132" t="s">
        <v>2461</v>
      </c>
      <c r="E1267" s="150"/>
      <c r="F1267" s="150"/>
      <c r="G1267" s="138"/>
      <c r="H1267" s="141"/>
      <c r="J1267" s="139"/>
    </row>
    <row r="1268" spans="3:10" ht="15" customHeight="1">
      <c r="C1268" s="132" t="s">
        <v>2461</v>
      </c>
      <c r="E1268" s="150"/>
      <c r="F1268" s="150"/>
      <c r="G1268" s="138"/>
      <c r="H1268" s="141"/>
      <c r="J1268" s="139"/>
    </row>
    <row r="1269" spans="3:10" ht="15" customHeight="1">
      <c r="C1269" s="132" t="s">
        <v>2461</v>
      </c>
      <c r="E1269" s="150"/>
      <c r="F1269" s="150"/>
      <c r="G1269" s="138"/>
      <c r="H1269" s="141"/>
      <c r="J1269" s="139"/>
    </row>
    <row r="1270" spans="3:10" ht="15" customHeight="1">
      <c r="C1270" s="132" t="s">
        <v>2461</v>
      </c>
      <c r="E1270" s="150"/>
      <c r="F1270" s="150"/>
      <c r="G1270" s="138"/>
      <c r="H1270" s="141"/>
      <c r="J1270" s="139"/>
    </row>
    <row r="1271" spans="3:10" ht="15" customHeight="1">
      <c r="C1271" s="132" t="s">
        <v>2461</v>
      </c>
      <c r="E1271" s="150"/>
      <c r="F1271" s="150"/>
      <c r="G1271" s="138"/>
      <c r="H1271" s="141"/>
      <c r="J1271" s="139"/>
    </row>
    <row r="1272" spans="3:10" ht="15" customHeight="1">
      <c r="C1272" s="132" t="s">
        <v>2461</v>
      </c>
      <c r="E1272" s="150"/>
      <c r="F1272" s="150"/>
      <c r="G1272" s="138">
        <v>5565</v>
      </c>
      <c r="H1272" s="141"/>
      <c r="J1272" s="139">
        <v>20000</v>
      </c>
    </row>
    <row r="1273" spans="3:10" ht="15" customHeight="1">
      <c r="C1273" s="132" t="s">
        <v>2461</v>
      </c>
      <c r="E1273" s="150"/>
      <c r="F1273" s="150"/>
      <c r="G1273" s="138" t="s">
        <v>2455</v>
      </c>
      <c r="H1273" s="141"/>
      <c r="I1273" s="131" t="s">
        <v>2462</v>
      </c>
      <c r="J1273" s="139">
        <v>-15000</v>
      </c>
    </row>
    <row r="1274" spans="3:10" ht="15" customHeight="1">
      <c r="E1274" s="154"/>
      <c r="F1274" s="154"/>
      <c r="G1274" s="154"/>
      <c r="H1274" s="154"/>
      <c r="I1274" s="154"/>
      <c r="J1274" s="154"/>
    </row>
    <row r="1275" spans="3:10" ht="15" customHeight="1">
      <c r="F1275" s="134"/>
      <c r="G1275" s="152" t="s">
        <v>2466</v>
      </c>
      <c r="H1275" s="152"/>
      <c r="I1275" s="152"/>
      <c r="J1275" s="153">
        <f>SUM(J1262:J1273)</f>
        <v>140000</v>
      </c>
    </row>
    <row r="1276" spans="3:10" ht="15" customHeight="1">
      <c r="F1276" s="134"/>
      <c r="G1276" s="152"/>
      <c r="H1276" s="152"/>
      <c r="I1276" s="152"/>
      <c r="J1276" s="157"/>
    </row>
    <row r="1277" spans="3:10" ht="15" customHeight="1">
      <c r="F1277" s="134"/>
      <c r="G1277" s="142" t="s">
        <v>2458</v>
      </c>
      <c r="H1277" s="142"/>
      <c r="I1277" s="142"/>
      <c r="J1277" s="156">
        <f>+J1275-J1257+J1259</f>
        <v>15000</v>
      </c>
    </row>
    <row r="1282" spans="1:10" ht="15" customHeight="1">
      <c r="F1282" s="1"/>
    </row>
    <row r="1283" spans="1:10" ht="15" customHeight="1">
      <c r="F1283" s="1"/>
    </row>
    <row r="1284" spans="1:10" ht="15" customHeight="1">
      <c r="A1284" s="134"/>
    </row>
    <row r="1285" spans="1:10" ht="15" customHeight="1">
      <c r="A1285" s="134"/>
    </row>
    <row r="1286" spans="1:10" ht="15" customHeight="1">
      <c r="A1286" s="133"/>
    </row>
    <row r="1287" spans="1:10" ht="15" customHeight="1">
      <c r="A1287" s="133"/>
    </row>
    <row r="1288" spans="1:10" ht="15" customHeight="1">
      <c r="F1288" s="151" t="s">
        <v>2580</v>
      </c>
    </row>
    <row r="1289" spans="1:10" ht="15" customHeight="1">
      <c r="A1289" s="133"/>
    </row>
    <row r="1290" spans="1:10" ht="15" customHeight="1">
      <c r="A1290" s="133"/>
      <c r="F1290" s="151" t="s">
        <v>2447</v>
      </c>
    </row>
    <row r="1291" spans="1:10" ht="15" customHeight="1">
      <c r="A1291" s="133"/>
    </row>
    <row r="1292" spans="1:10" ht="15" customHeight="1">
      <c r="A1292" s="142"/>
      <c r="B1292" s="142"/>
      <c r="C1292" s="142"/>
      <c r="D1292" s="142"/>
      <c r="E1292" s="142"/>
      <c r="F1292" s="142"/>
      <c r="G1292" s="142"/>
      <c r="J1292" s="142"/>
    </row>
    <row r="1294" spans="1:10" ht="15" customHeight="1">
      <c r="A1294" s="132" t="s">
        <v>2448</v>
      </c>
      <c r="C1294" s="135" t="s">
        <v>2666</v>
      </c>
      <c r="D1294" s="136"/>
      <c r="E1294" s="137"/>
      <c r="G1294" s="149" t="s">
        <v>2465</v>
      </c>
      <c r="H1294" s="135" t="s">
        <v>2752</v>
      </c>
      <c r="I1294" s="136"/>
      <c r="J1294" s="137"/>
    </row>
    <row r="1296" spans="1:10" ht="15" customHeight="1">
      <c r="A1296" s="134" t="s">
        <v>2456</v>
      </c>
      <c r="C1296" s="135" t="s">
        <v>2668</v>
      </c>
      <c r="D1296" s="136"/>
      <c r="E1296" s="136"/>
      <c r="F1296" s="137"/>
      <c r="I1296" s="149" t="s">
        <v>2464</v>
      </c>
      <c r="J1296" s="150">
        <v>1</v>
      </c>
    </row>
    <row r="1297" spans="1:10" ht="15" customHeight="1">
      <c r="D1297" s="134"/>
    </row>
    <row r="1298" spans="1:10" ht="15" customHeight="1">
      <c r="A1298" s="132" t="s">
        <v>2459</v>
      </c>
      <c r="D1298" s="135" t="s">
        <v>2709</v>
      </c>
      <c r="E1298" s="136"/>
      <c r="F1298" s="136"/>
      <c r="G1298" s="136"/>
      <c r="H1298" s="136"/>
      <c r="I1298" s="136"/>
      <c r="J1298" s="137"/>
    </row>
    <row r="1300" spans="1:10" ht="15" customHeight="1">
      <c r="A1300" s="134" t="s">
        <v>2460</v>
      </c>
    </row>
    <row r="1301" spans="1:10" ht="15" customHeight="1">
      <c r="A1301" s="134"/>
    </row>
    <row r="1302" spans="1:10" ht="15" customHeight="1">
      <c r="A1302" s="130" t="s">
        <v>2753</v>
      </c>
      <c r="B1302" s="129"/>
      <c r="C1302" s="129"/>
      <c r="D1302" s="129"/>
      <c r="E1302" s="129"/>
      <c r="F1302" s="129"/>
      <c r="G1302" s="129"/>
      <c r="H1302" s="129"/>
      <c r="I1302" s="129"/>
      <c r="J1302" s="128"/>
    </row>
    <row r="1303" spans="1:10" ht="15" customHeight="1">
      <c r="A1303" s="127"/>
      <c r="B1303" s="143"/>
      <c r="C1303" s="143"/>
      <c r="D1303" s="143"/>
      <c r="E1303" s="143"/>
      <c r="F1303" s="143"/>
      <c r="G1303" s="143"/>
      <c r="H1303" s="143"/>
      <c r="I1303" s="143"/>
      <c r="J1303" s="144"/>
    </row>
    <row r="1304" spans="1:10" ht="15" customHeight="1">
      <c r="A1304" s="127"/>
      <c r="B1304" s="143"/>
      <c r="C1304" s="143"/>
      <c r="D1304" s="143"/>
      <c r="E1304" s="143"/>
      <c r="F1304" s="143"/>
      <c r="G1304" s="143"/>
      <c r="H1304" s="143"/>
      <c r="I1304" s="143"/>
      <c r="J1304" s="144"/>
    </row>
    <row r="1305" spans="1:10" ht="15" customHeight="1">
      <c r="A1305" s="127"/>
      <c r="B1305" s="143"/>
      <c r="C1305" s="143"/>
      <c r="D1305" s="143"/>
      <c r="E1305" s="143"/>
      <c r="F1305" s="143"/>
      <c r="G1305" s="143"/>
      <c r="H1305" s="143"/>
      <c r="I1305" s="143"/>
      <c r="J1305" s="144"/>
    </row>
    <row r="1306" spans="1:10" ht="15" customHeight="1">
      <c r="A1306" s="127"/>
      <c r="B1306" s="143"/>
      <c r="C1306" s="143"/>
      <c r="D1306" s="143"/>
      <c r="E1306" s="143"/>
      <c r="F1306" s="143"/>
      <c r="G1306" s="143"/>
      <c r="H1306" s="143"/>
      <c r="I1306" s="143"/>
      <c r="J1306" s="144"/>
    </row>
    <row r="1307" spans="1:10" ht="15" customHeight="1">
      <c r="A1307" s="127"/>
      <c r="B1307" s="143"/>
      <c r="C1307" s="143"/>
      <c r="D1307" s="143"/>
      <c r="E1307" s="143"/>
      <c r="F1307" s="143"/>
      <c r="G1307" s="143"/>
      <c r="H1307" s="143"/>
      <c r="I1307" s="143"/>
      <c r="J1307" s="144"/>
    </row>
    <row r="1308" spans="1:10" ht="15" customHeight="1">
      <c r="A1308" s="127"/>
      <c r="B1308" s="143"/>
      <c r="C1308" s="143"/>
      <c r="D1308" s="143"/>
      <c r="E1308" s="143"/>
      <c r="F1308" s="143"/>
      <c r="G1308" s="143"/>
      <c r="H1308" s="143"/>
      <c r="I1308" s="143"/>
      <c r="J1308" s="144"/>
    </row>
    <row r="1309" spans="1:10" ht="15" customHeight="1">
      <c r="A1309" s="127"/>
      <c r="B1309" s="143"/>
      <c r="C1309" s="143"/>
      <c r="D1309" s="143"/>
      <c r="E1309" s="143"/>
      <c r="F1309" s="143"/>
      <c r="G1309" s="143"/>
      <c r="H1309" s="143"/>
      <c r="I1309" s="143"/>
      <c r="J1309" s="144"/>
    </row>
    <row r="1310" spans="1:10" ht="15" customHeight="1">
      <c r="A1310" s="145"/>
      <c r="B1310" s="143"/>
      <c r="C1310" s="143"/>
      <c r="D1310" s="143"/>
      <c r="E1310" s="143"/>
      <c r="F1310" s="143"/>
      <c r="G1310" s="143"/>
      <c r="H1310" s="143"/>
      <c r="I1310" s="143"/>
      <c r="J1310" s="144"/>
    </row>
    <row r="1311" spans="1:10" ht="15" customHeight="1">
      <c r="A1311" s="127"/>
      <c r="B1311" s="143"/>
      <c r="C1311" s="143"/>
      <c r="D1311" s="143"/>
      <c r="E1311" s="143"/>
      <c r="F1311" s="143"/>
      <c r="G1311" s="143"/>
      <c r="H1311" s="143"/>
      <c r="I1311" s="143"/>
      <c r="J1311" s="144"/>
    </row>
    <row r="1312" spans="1:10" ht="15" customHeight="1">
      <c r="A1312" s="146"/>
      <c r="B1312" s="147"/>
      <c r="C1312" s="147"/>
      <c r="D1312" s="147"/>
      <c r="E1312" s="147"/>
      <c r="F1312" s="147"/>
      <c r="G1312" s="147"/>
      <c r="H1312" s="147"/>
      <c r="I1312" s="147"/>
      <c r="J1312" s="148"/>
    </row>
    <row r="1314" spans="3:10" ht="15" customHeight="1">
      <c r="F1314" s="134"/>
      <c r="G1314" s="152" t="s">
        <v>2449</v>
      </c>
      <c r="H1314" s="152"/>
      <c r="I1314" s="152"/>
      <c r="J1314" s="155">
        <v>4994</v>
      </c>
    </row>
    <row r="1315" spans="3:10" ht="15" customHeight="1">
      <c r="F1315" s="134"/>
      <c r="G1315" s="132" t="s">
        <v>2463</v>
      </c>
      <c r="J1315" s="139">
        <v>0</v>
      </c>
    </row>
    <row r="1316" spans="3:10" ht="15" customHeight="1">
      <c r="F1316" s="134"/>
      <c r="G1316" s="132" t="s">
        <v>2450</v>
      </c>
      <c r="J1316" s="140">
        <v>0</v>
      </c>
    </row>
    <row r="1318" spans="3:10" ht="15" customHeight="1">
      <c r="E1318" s="1" t="s">
        <v>2451</v>
      </c>
      <c r="F1318" s="1" t="s">
        <v>2452</v>
      </c>
      <c r="G1318" s="132" t="s">
        <v>2453</v>
      </c>
      <c r="J1318" s="1" t="s">
        <v>2454</v>
      </c>
    </row>
    <row r="1319" spans="3:10" ht="15" customHeight="1">
      <c r="C1319" s="132" t="s">
        <v>2461</v>
      </c>
      <c r="E1319" s="150"/>
      <c r="F1319" s="150"/>
      <c r="G1319" s="138"/>
      <c r="H1319" s="141"/>
      <c r="J1319" s="139"/>
    </row>
    <row r="1320" spans="3:10" ht="15" customHeight="1">
      <c r="C1320" s="132" t="s">
        <v>2461</v>
      </c>
      <c r="E1320" s="150"/>
      <c r="F1320" s="150"/>
      <c r="G1320" s="138"/>
      <c r="H1320" s="141"/>
      <c r="J1320" s="139"/>
    </row>
    <row r="1321" spans="3:10" ht="15" customHeight="1">
      <c r="C1321" s="132" t="s">
        <v>2461</v>
      </c>
      <c r="E1321" s="150"/>
      <c r="F1321" s="150"/>
      <c r="G1321" s="138"/>
      <c r="H1321" s="141"/>
      <c r="J1321" s="139"/>
    </row>
    <row r="1322" spans="3:10" ht="15" customHeight="1">
      <c r="C1322" s="132" t="s">
        <v>2461</v>
      </c>
      <c r="E1322" s="150"/>
      <c r="F1322" s="150"/>
      <c r="G1322" s="138"/>
      <c r="H1322" s="141"/>
      <c r="J1322" s="139"/>
    </row>
    <row r="1323" spans="3:10" ht="15" customHeight="1">
      <c r="C1323" s="132" t="s">
        <v>2461</v>
      </c>
      <c r="E1323" s="150"/>
      <c r="F1323" s="150"/>
      <c r="G1323" s="138"/>
      <c r="H1323" s="141"/>
      <c r="J1323" s="139"/>
    </row>
    <row r="1324" spans="3:10" ht="15" customHeight="1">
      <c r="C1324" s="132" t="s">
        <v>2461</v>
      </c>
      <c r="E1324" s="150"/>
      <c r="F1324" s="150"/>
      <c r="G1324" s="138"/>
      <c r="H1324" s="141"/>
      <c r="J1324" s="139"/>
    </row>
    <row r="1325" spans="3:10" ht="15" customHeight="1">
      <c r="C1325" s="132" t="s">
        <v>2461</v>
      </c>
      <c r="E1325" s="150"/>
      <c r="F1325" s="150"/>
      <c r="G1325" s="138"/>
      <c r="H1325" s="141"/>
      <c r="J1325" s="139"/>
    </row>
    <row r="1326" spans="3:10" ht="15" customHeight="1">
      <c r="C1326" s="132" t="s">
        <v>2461</v>
      </c>
      <c r="E1326" s="150"/>
      <c r="F1326" s="150"/>
      <c r="G1326" s="138"/>
      <c r="H1326" s="141"/>
      <c r="J1326" s="139"/>
    </row>
    <row r="1327" spans="3:10" ht="15" customHeight="1">
      <c r="C1327" s="132" t="s">
        <v>2461</v>
      </c>
      <c r="E1327" s="150"/>
      <c r="F1327" s="150"/>
      <c r="G1327" s="138"/>
      <c r="H1327" s="141"/>
      <c r="J1327" s="139"/>
    </row>
    <row r="1328" spans="3:10" ht="15" customHeight="1">
      <c r="C1328" s="132" t="s">
        <v>2461</v>
      </c>
      <c r="E1328" s="150"/>
      <c r="F1328" s="150"/>
      <c r="G1328" s="138"/>
      <c r="H1328" s="141"/>
      <c r="J1328" s="139"/>
    </row>
    <row r="1329" spans="1:10" ht="15" customHeight="1">
      <c r="C1329" s="132" t="s">
        <v>2461</v>
      </c>
      <c r="E1329" s="150"/>
      <c r="F1329" s="150"/>
      <c r="G1329" s="138">
        <v>5230</v>
      </c>
      <c r="H1329" s="141"/>
      <c r="J1329" s="139">
        <v>4994</v>
      </c>
    </row>
    <row r="1330" spans="1:10" ht="15" customHeight="1">
      <c r="C1330" s="132" t="s">
        <v>2461</v>
      </c>
      <c r="E1330" s="150"/>
      <c r="F1330" s="150"/>
      <c r="G1330" s="138"/>
      <c r="H1330" s="141"/>
      <c r="I1330" s="131" t="s">
        <v>2462</v>
      </c>
      <c r="J1330" s="139">
        <v>0</v>
      </c>
    </row>
    <row r="1331" spans="1:10" ht="15" customHeight="1">
      <c r="E1331" s="154"/>
      <c r="F1331" s="154"/>
      <c r="G1331" s="154"/>
      <c r="H1331" s="154"/>
      <c r="I1331" s="154"/>
      <c r="J1331" s="154"/>
    </row>
    <row r="1332" spans="1:10" ht="15" customHeight="1">
      <c r="F1332" s="134"/>
      <c r="G1332" s="152" t="s">
        <v>2466</v>
      </c>
      <c r="H1332" s="152"/>
      <c r="I1332" s="152"/>
      <c r="J1332" s="153">
        <f>SUM(J1319:J1330)</f>
        <v>4994</v>
      </c>
    </row>
    <row r="1333" spans="1:10" ht="15" customHeight="1">
      <c r="F1333" s="134"/>
      <c r="G1333" s="152"/>
      <c r="H1333" s="152"/>
      <c r="I1333" s="152"/>
      <c r="J1333" s="157"/>
    </row>
    <row r="1334" spans="1:10" ht="15" customHeight="1">
      <c r="F1334" s="134"/>
      <c r="G1334" s="142" t="s">
        <v>2458</v>
      </c>
      <c r="H1334" s="142"/>
      <c r="I1334" s="142"/>
      <c r="J1334" s="156">
        <f>+J1332-J1314+J1316</f>
        <v>0</v>
      </c>
    </row>
    <row r="1338" spans="1:10" ht="15" customHeight="1">
      <c r="F1338" s="1"/>
    </row>
    <row r="1339" spans="1:10" ht="15" customHeight="1">
      <c r="F1339" s="1"/>
    </row>
    <row r="1340" spans="1:10" ht="15" customHeight="1">
      <c r="A1340" s="134"/>
    </row>
    <row r="1341" spans="1:10" ht="15" customHeight="1">
      <c r="A1341" s="134"/>
    </row>
    <row r="1342" spans="1:10" ht="15" customHeight="1">
      <c r="A1342" s="133"/>
    </row>
    <row r="1343" spans="1:10" ht="15" customHeight="1">
      <c r="A1343" s="133"/>
    </row>
    <row r="1344" spans="1:10" ht="15" customHeight="1">
      <c r="F1344" s="151" t="s">
        <v>2580</v>
      </c>
    </row>
    <row r="1345" spans="1:10" ht="15" customHeight="1">
      <c r="A1345" s="133"/>
    </row>
    <row r="1346" spans="1:10" ht="15" customHeight="1">
      <c r="A1346" s="133"/>
      <c r="F1346" s="151" t="s">
        <v>2447</v>
      </c>
    </row>
    <row r="1347" spans="1:10" ht="15" customHeight="1">
      <c r="A1347" s="133"/>
    </row>
    <row r="1348" spans="1:10" ht="15" customHeight="1">
      <c r="A1348" s="142"/>
      <c r="B1348" s="142"/>
      <c r="C1348" s="142"/>
      <c r="D1348" s="142"/>
      <c r="E1348" s="142"/>
      <c r="F1348" s="142"/>
      <c r="G1348" s="142"/>
      <c r="J1348" s="142"/>
    </row>
    <row r="1350" spans="1:10" ht="15" customHeight="1">
      <c r="A1350" s="132" t="s">
        <v>2448</v>
      </c>
      <c r="C1350" s="135" t="s">
        <v>2666</v>
      </c>
      <c r="D1350" s="136"/>
      <c r="E1350" s="137"/>
      <c r="G1350" s="149" t="s">
        <v>2465</v>
      </c>
      <c r="H1350" s="135" t="s">
        <v>2754</v>
      </c>
      <c r="I1350" s="136"/>
      <c r="J1350" s="137"/>
    </row>
    <row r="1352" spans="1:10" ht="15" customHeight="1">
      <c r="A1352" s="134" t="s">
        <v>2456</v>
      </c>
      <c r="C1352" s="135" t="s">
        <v>2668</v>
      </c>
      <c r="D1352" s="136"/>
      <c r="E1352" s="136"/>
      <c r="F1352" s="137"/>
      <c r="I1352" s="149" t="s">
        <v>2464</v>
      </c>
      <c r="J1352" s="150">
        <v>1</v>
      </c>
    </row>
    <row r="1353" spans="1:10" ht="15" customHeight="1">
      <c r="D1353" s="134"/>
    </row>
    <row r="1354" spans="1:10" ht="15" customHeight="1">
      <c r="A1354" s="132" t="s">
        <v>2459</v>
      </c>
      <c r="D1354" s="135" t="s">
        <v>2698</v>
      </c>
      <c r="E1354" s="136"/>
      <c r="F1354" s="136"/>
      <c r="G1354" s="136"/>
      <c r="H1354" s="136"/>
      <c r="I1354" s="136"/>
      <c r="J1354" s="137"/>
    </row>
    <row r="1356" spans="1:10" ht="15" customHeight="1">
      <c r="A1356" s="134" t="s">
        <v>2460</v>
      </c>
    </row>
    <row r="1357" spans="1:10" ht="15" customHeight="1">
      <c r="A1357" s="134"/>
    </row>
    <row r="1358" spans="1:10" ht="15" customHeight="1">
      <c r="A1358" s="130" t="s">
        <v>2755</v>
      </c>
      <c r="B1358" s="129"/>
      <c r="C1358" s="129"/>
      <c r="D1358" s="129"/>
      <c r="E1358" s="129"/>
      <c r="F1358" s="129"/>
      <c r="G1358" s="129"/>
      <c r="H1358" s="129"/>
      <c r="I1358" s="129"/>
      <c r="J1358" s="128"/>
    </row>
    <row r="1359" spans="1:10" ht="15" customHeight="1">
      <c r="A1359" s="127" t="s">
        <v>2756</v>
      </c>
      <c r="B1359" s="143"/>
      <c r="C1359" s="143"/>
      <c r="D1359" s="143"/>
      <c r="E1359" s="143"/>
      <c r="F1359" s="143"/>
      <c r="G1359" s="143"/>
      <c r="H1359" s="143"/>
      <c r="I1359" s="143"/>
      <c r="J1359" s="144"/>
    </row>
    <row r="1360" spans="1:10" ht="15" customHeight="1">
      <c r="A1360" s="127" t="s">
        <v>2757</v>
      </c>
      <c r="B1360" s="143"/>
      <c r="C1360" s="143"/>
      <c r="D1360" s="143"/>
      <c r="E1360" s="143"/>
      <c r="F1360" s="143"/>
      <c r="G1360" s="143"/>
      <c r="H1360" s="143"/>
      <c r="I1360" s="143"/>
      <c r="J1360" s="144"/>
    </row>
    <row r="1361" spans="1:10" ht="15" customHeight="1">
      <c r="A1361" s="127"/>
      <c r="B1361" s="143"/>
      <c r="C1361" s="143"/>
      <c r="D1361" s="143"/>
      <c r="E1361" s="143"/>
      <c r="F1361" s="143"/>
      <c r="G1361" s="143"/>
      <c r="H1361" s="143"/>
      <c r="I1361" s="143"/>
      <c r="J1361" s="144"/>
    </row>
    <row r="1362" spans="1:10" ht="15" customHeight="1">
      <c r="A1362" s="127"/>
      <c r="B1362" s="143"/>
      <c r="C1362" s="143"/>
      <c r="D1362" s="143"/>
      <c r="E1362" s="143"/>
      <c r="F1362" s="143"/>
      <c r="G1362" s="143"/>
      <c r="H1362" s="143"/>
      <c r="I1362" s="143"/>
      <c r="J1362" s="144"/>
    </row>
    <row r="1363" spans="1:10" ht="15" customHeight="1">
      <c r="A1363" s="127"/>
      <c r="B1363" s="143"/>
      <c r="C1363" s="143"/>
      <c r="D1363" s="143"/>
      <c r="E1363" s="143"/>
      <c r="F1363" s="143"/>
      <c r="G1363" s="143"/>
      <c r="H1363" s="143"/>
      <c r="I1363" s="143"/>
      <c r="J1363" s="144"/>
    </row>
    <row r="1364" spans="1:10" ht="15" customHeight="1">
      <c r="A1364" s="127"/>
      <c r="B1364" s="143"/>
      <c r="C1364" s="143"/>
      <c r="D1364" s="143"/>
      <c r="E1364" s="143"/>
      <c r="F1364" s="143"/>
      <c r="G1364" s="143"/>
      <c r="H1364" s="143"/>
      <c r="I1364" s="143"/>
      <c r="J1364" s="144"/>
    </row>
    <row r="1365" spans="1:10" ht="15" customHeight="1">
      <c r="A1365" s="127"/>
      <c r="B1365" s="143"/>
      <c r="C1365" s="143"/>
      <c r="D1365" s="143"/>
      <c r="E1365" s="143"/>
      <c r="F1365" s="143"/>
      <c r="G1365" s="143"/>
      <c r="H1365" s="143"/>
      <c r="I1365" s="143"/>
      <c r="J1365" s="144"/>
    </row>
    <row r="1366" spans="1:10" ht="15" customHeight="1">
      <c r="A1366" s="145"/>
      <c r="B1366" s="143"/>
      <c r="C1366" s="143"/>
      <c r="D1366" s="143"/>
      <c r="E1366" s="143"/>
      <c r="F1366" s="143"/>
      <c r="G1366" s="143"/>
      <c r="H1366" s="143"/>
      <c r="I1366" s="143"/>
      <c r="J1366" s="144"/>
    </row>
    <row r="1367" spans="1:10" ht="15" customHeight="1">
      <c r="A1367" s="127"/>
      <c r="B1367" s="143"/>
      <c r="C1367" s="143"/>
      <c r="D1367" s="143"/>
      <c r="E1367" s="143"/>
      <c r="F1367" s="143"/>
      <c r="G1367" s="143"/>
      <c r="H1367" s="143"/>
      <c r="I1367" s="143"/>
      <c r="J1367" s="144"/>
    </row>
    <row r="1368" spans="1:10" ht="15" customHeight="1">
      <c r="A1368" s="146"/>
      <c r="B1368" s="147"/>
      <c r="C1368" s="147"/>
      <c r="D1368" s="147"/>
      <c r="E1368" s="147"/>
      <c r="F1368" s="147"/>
      <c r="G1368" s="147"/>
      <c r="H1368" s="147"/>
      <c r="I1368" s="147"/>
      <c r="J1368" s="148"/>
    </row>
    <row r="1370" spans="1:10" ht="15" customHeight="1">
      <c r="F1370" s="134"/>
      <c r="G1370" s="152" t="s">
        <v>2449</v>
      </c>
      <c r="H1370" s="152"/>
      <c r="I1370" s="152"/>
      <c r="J1370" s="155">
        <v>20000</v>
      </c>
    </row>
    <row r="1371" spans="1:10" ht="15" customHeight="1">
      <c r="F1371" s="134"/>
      <c r="G1371" s="132" t="s">
        <v>2463</v>
      </c>
      <c r="J1371" s="139">
        <v>5000</v>
      </c>
    </row>
    <row r="1372" spans="1:10" ht="15" customHeight="1">
      <c r="F1372" s="134"/>
      <c r="G1372" s="132" t="s">
        <v>2450</v>
      </c>
      <c r="J1372" s="140">
        <v>15000</v>
      </c>
    </row>
    <row r="1374" spans="1:10" ht="15" customHeight="1">
      <c r="E1374" s="1" t="s">
        <v>2451</v>
      </c>
      <c r="F1374" s="1" t="s">
        <v>2452</v>
      </c>
      <c r="G1374" s="132" t="s">
        <v>2453</v>
      </c>
      <c r="J1374" s="1" t="s">
        <v>2454</v>
      </c>
    </row>
    <row r="1375" spans="1:10" ht="15" customHeight="1">
      <c r="C1375" s="132" t="s">
        <v>2461</v>
      </c>
      <c r="E1375" s="150"/>
      <c r="F1375" s="150"/>
      <c r="G1375" s="138"/>
      <c r="H1375" s="141"/>
      <c r="J1375" s="139"/>
    </row>
    <row r="1376" spans="1:10" ht="15" customHeight="1">
      <c r="C1376" s="132" t="s">
        <v>2461</v>
      </c>
      <c r="E1376" s="150"/>
      <c r="F1376" s="150"/>
      <c r="G1376" s="138"/>
      <c r="H1376" s="141"/>
      <c r="J1376" s="139"/>
    </row>
    <row r="1377" spans="3:10" ht="15" customHeight="1">
      <c r="C1377" s="132" t="s">
        <v>2461</v>
      </c>
      <c r="E1377" s="150"/>
      <c r="F1377" s="150"/>
      <c r="G1377" s="138"/>
      <c r="H1377" s="141"/>
      <c r="J1377" s="139"/>
    </row>
    <row r="1378" spans="3:10" ht="15" customHeight="1">
      <c r="C1378" s="132" t="s">
        <v>2461</v>
      </c>
      <c r="E1378" s="150"/>
      <c r="F1378" s="150"/>
      <c r="G1378" s="138"/>
      <c r="H1378" s="141"/>
      <c r="J1378" s="139"/>
    </row>
    <row r="1379" spans="3:10" ht="15" customHeight="1">
      <c r="C1379" s="132" t="s">
        <v>2461</v>
      </c>
      <c r="E1379" s="150"/>
      <c r="F1379" s="150"/>
      <c r="G1379" s="138"/>
      <c r="H1379" s="141"/>
      <c r="J1379" s="139"/>
    </row>
    <row r="1380" spans="3:10" ht="15" customHeight="1">
      <c r="C1380" s="132" t="s">
        <v>2461</v>
      </c>
      <c r="E1380" s="150"/>
      <c r="F1380" s="150"/>
      <c r="G1380" s="138"/>
      <c r="H1380" s="141"/>
      <c r="J1380" s="139"/>
    </row>
    <row r="1381" spans="3:10" ht="15" customHeight="1">
      <c r="C1381" s="132" t="s">
        <v>2461</v>
      </c>
      <c r="E1381" s="150"/>
      <c r="F1381" s="150"/>
      <c r="G1381" s="138"/>
      <c r="H1381" s="141"/>
      <c r="J1381" s="139"/>
    </row>
    <row r="1382" spans="3:10" ht="15" customHeight="1">
      <c r="C1382" s="132" t="s">
        <v>2461</v>
      </c>
      <c r="E1382" s="150"/>
      <c r="F1382" s="150"/>
      <c r="G1382" s="138"/>
      <c r="H1382" s="141"/>
      <c r="J1382" s="139"/>
    </row>
    <row r="1383" spans="3:10" ht="15" customHeight="1">
      <c r="C1383" s="132" t="s">
        <v>2461</v>
      </c>
      <c r="E1383" s="150"/>
      <c r="F1383" s="150"/>
      <c r="G1383" s="138"/>
      <c r="H1383" s="141"/>
      <c r="J1383" s="139"/>
    </row>
    <row r="1384" spans="3:10" ht="15" customHeight="1">
      <c r="C1384" s="132" t="s">
        <v>2461</v>
      </c>
      <c r="E1384" s="150"/>
      <c r="F1384" s="150"/>
      <c r="G1384" s="138"/>
      <c r="H1384" s="141"/>
      <c r="J1384" s="139"/>
    </row>
    <row r="1385" spans="3:10" ht="15" customHeight="1">
      <c r="C1385" s="132" t="s">
        <v>2461</v>
      </c>
      <c r="E1385" s="150"/>
      <c r="F1385" s="150"/>
      <c r="G1385" s="138">
        <v>5453</v>
      </c>
      <c r="H1385" s="141"/>
      <c r="J1385" s="139">
        <v>20000</v>
      </c>
    </row>
    <row r="1386" spans="3:10" ht="15" customHeight="1">
      <c r="C1386" s="132" t="s">
        <v>2461</v>
      </c>
      <c r="E1386" s="150"/>
      <c r="F1386" s="150"/>
      <c r="G1386" s="138" t="s">
        <v>2455</v>
      </c>
      <c r="H1386" s="141"/>
      <c r="I1386" s="131" t="s">
        <v>2462</v>
      </c>
      <c r="J1386" s="139">
        <v>-15000</v>
      </c>
    </row>
    <row r="1387" spans="3:10" ht="15" customHeight="1">
      <c r="E1387" s="154"/>
      <c r="F1387" s="154"/>
      <c r="G1387" s="154"/>
      <c r="H1387" s="154"/>
      <c r="I1387" s="154"/>
      <c r="J1387" s="154"/>
    </row>
    <row r="1388" spans="3:10" ht="15" customHeight="1">
      <c r="F1388" s="134"/>
      <c r="G1388" s="152" t="s">
        <v>2466</v>
      </c>
      <c r="H1388" s="152"/>
      <c r="I1388" s="152"/>
      <c r="J1388" s="153">
        <f>SUM(J1375:J1386)</f>
        <v>5000</v>
      </c>
    </row>
    <row r="1389" spans="3:10" ht="15" customHeight="1">
      <c r="F1389" s="134"/>
      <c r="G1389" s="152"/>
      <c r="H1389" s="152"/>
      <c r="I1389" s="152"/>
      <c r="J1389" s="157"/>
    </row>
    <row r="1390" spans="3:10" ht="15" customHeight="1">
      <c r="F1390" s="134"/>
      <c r="G1390" s="142" t="s">
        <v>2458</v>
      </c>
      <c r="H1390" s="142"/>
      <c r="I1390" s="142"/>
      <c r="J1390" s="156">
        <f>+J1388-J1370+J1372</f>
        <v>0</v>
      </c>
    </row>
    <row r="1396" spans="1:10" ht="15" customHeight="1">
      <c r="F1396" s="1"/>
    </row>
    <row r="1397" spans="1:10" ht="15" customHeight="1">
      <c r="F1397" s="1"/>
    </row>
    <row r="1398" spans="1:10" ht="15" customHeight="1">
      <c r="A1398" s="134"/>
    </row>
    <row r="1399" spans="1:10" ht="15" customHeight="1">
      <c r="A1399" s="134"/>
    </row>
    <row r="1400" spans="1:10" ht="15" customHeight="1">
      <c r="A1400" s="133"/>
    </row>
    <row r="1401" spans="1:10" ht="15" customHeight="1">
      <c r="A1401" s="133"/>
    </row>
    <row r="1402" spans="1:10" ht="15" customHeight="1">
      <c r="F1402" s="151" t="s">
        <v>2580</v>
      </c>
    </row>
    <row r="1403" spans="1:10" ht="15" customHeight="1">
      <c r="A1403" s="133"/>
    </row>
    <row r="1404" spans="1:10" ht="15" customHeight="1">
      <c r="A1404" s="133"/>
      <c r="F1404" s="151" t="s">
        <v>2447</v>
      </c>
    </row>
    <row r="1405" spans="1:10" ht="15" customHeight="1">
      <c r="A1405" s="133"/>
    </row>
    <row r="1406" spans="1:10" ht="15" customHeight="1">
      <c r="A1406" s="142"/>
      <c r="B1406" s="142"/>
      <c r="C1406" s="142"/>
      <c r="D1406" s="142"/>
      <c r="E1406" s="142"/>
      <c r="F1406" s="142"/>
      <c r="G1406" s="142"/>
      <c r="J1406" s="142"/>
    </row>
    <row r="1408" spans="1:10" ht="15" customHeight="1">
      <c r="A1408" s="132" t="s">
        <v>2448</v>
      </c>
      <c r="C1408" s="135" t="s">
        <v>2666</v>
      </c>
      <c r="D1408" s="136"/>
      <c r="E1408" s="137"/>
      <c r="G1408" s="149" t="s">
        <v>2465</v>
      </c>
      <c r="H1408" s="135" t="s">
        <v>2754</v>
      </c>
      <c r="I1408" s="136"/>
      <c r="J1408" s="137"/>
    </row>
    <row r="1410" spans="1:10" ht="15" customHeight="1">
      <c r="A1410" s="134" t="s">
        <v>2456</v>
      </c>
      <c r="C1410" s="135" t="s">
        <v>2758</v>
      </c>
      <c r="D1410" s="136"/>
      <c r="E1410" s="136"/>
      <c r="F1410" s="137"/>
      <c r="I1410" s="149" t="s">
        <v>2464</v>
      </c>
      <c r="J1410" s="150">
        <v>1</v>
      </c>
    </row>
    <row r="1411" spans="1:10" ht="15" customHeight="1">
      <c r="D1411" s="134"/>
    </row>
    <row r="1412" spans="1:10" ht="15" customHeight="1">
      <c r="A1412" s="132" t="s">
        <v>2459</v>
      </c>
      <c r="D1412" s="135" t="s">
        <v>2699</v>
      </c>
      <c r="E1412" s="136"/>
      <c r="F1412" s="136"/>
      <c r="G1412" s="136"/>
      <c r="H1412" s="136"/>
      <c r="I1412" s="136"/>
      <c r="J1412" s="137"/>
    </row>
    <row r="1414" spans="1:10" ht="15" customHeight="1">
      <c r="A1414" s="134" t="s">
        <v>2460</v>
      </c>
    </row>
    <row r="1415" spans="1:10" ht="15" customHeight="1">
      <c r="A1415" s="134"/>
    </row>
    <row r="1416" spans="1:10" ht="15" customHeight="1">
      <c r="A1416" s="130" t="s">
        <v>2759</v>
      </c>
      <c r="B1416" s="129"/>
      <c r="C1416" s="129"/>
      <c r="D1416" s="129"/>
      <c r="E1416" s="129"/>
      <c r="F1416" s="129"/>
      <c r="G1416" s="129"/>
      <c r="H1416" s="129"/>
      <c r="I1416" s="129"/>
      <c r="J1416" s="128"/>
    </row>
    <row r="1417" spans="1:10" ht="15" customHeight="1">
      <c r="A1417" s="127" t="s">
        <v>2760</v>
      </c>
      <c r="B1417" s="143"/>
      <c r="C1417" s="143"/>
      <c r="D1417" s="143"/>
      <c r="E1417" s="143"/>
      <c r="F1417" s="143"/>
      <c r="G1417" s="143"/>
      <c r="H1417" s="143"/>
      <c r="I1417" s="143"/>
      <c r="J1417" s="144"/>
    </row>
    <row r="1418" spans="1:10" ht="15" customHeight="1">
      <c r="A1418" s="127" t="s">
        <v>2761</v>
      </c>
      <c r="B1418" s="143"/>
      <c r="C1418" s="143"/>
      <c r="D1418" s="143"/>
      <c r="E1418" s="143"/>
      <c r="F1418" s="143"/>
      <c r="G1418" s="143"/>
      <c r="H1418" s="143"/>
      <c r="I1418" s="143"/>
      <c r="J1418" s="144"/>
    </row>
    <row r="1419" spans="1:10" ht="15" customHeight="1">
      <c r="A1419" s="127" t="s">
        <v>2762</v>
      </c>
      <c r="B1419" s="143"/>
      <c r="C1419" s="143"/>
      <c r="D1419" s="143"/>
      <c r="E1419" s="143"/>
      <c r="F1419" s="143"/>
      <c r="G1419" s="143"/>
      <c r="H1419" s="143"/>
      <c r="I1419" s="143"/>
      <c r="J1419" s="144"/>
    </row>
    <row r="1420" spans="1:10" ht="15" customHeight="1">
      <c r="A1420" s="127"/>
      <c r="B1420" s="143"/>
      <c r="C1420" s="143"/>
      <c r="D1420" s="143"/>
      <c r="E1420" s="143"/>
      <c r="F1420" s="143"/>
      <c r="G1420" s="143"/>
      <c r="H1420" s="143"/>
      <c r="I1420" s="143"/>
      <c r="J1420" s="144"/>
    </row>
    <row r="1421" spans="1:10" ht="15" customHeight="1">
      <c r="A1421" s="127"/>
      <c r="B1421" s="143"/>
      <c r="C1421" s="143"/>
      <c r="D1421" s="143"/>
      <c r="E1421" s="143"/>
      <c r="F1421" s="143"/>
      <c r="G1421" s="143"/>
      <c r="H1421" s="143"/>
      <c r="I1421" s="143"/>
      <c r="J1421" s="144"/>
    </row>
    <row r="1422" spans="1:10" ht="15" customHeight="1">
      <c r="A1422" s="127"/>
      <c r="B1422" s="143"/>
      <c r="C1422" s="143"/>
      <c r="D1422" s="143"/>
      <c r="E1422" s="143"/>
      <c r="F1422" s="143"/>
      <c r="G1422" s="143"/>
      <c r="H1422" s="143"/>
      <c r="I1422" s="143"/>
      <c r="J1422" s="144"/>
    </row>
    <row r="1423" spans="1:10" ht="15" customHeight="1">
      <c r="A1423" s="127"/>
      <c r="B1423" s="143"/>
      <c r="C1423" s="143"/>
      <c r="D1423" s="143"/>
      <c r="E1423" s="143"/>
      <c r="F1423" s="143"/>
      <c r="G1423" s="143"/>
      <c r="H1423" s="143"/>
      <c r="I1423" s="143"/>
      <c r="J1423" s="144"/>
    </row>
    <row r="1424" spans="1:10" ht="15" customHeight="1">
      <c r="A1424" s="145"/>
      <c r="B1424" s="143"/>
      <c r="C1424" s="143"/>
      <c r="D1424" s="143"/>
      <c r="E1424" s="143"/>
      <c r="F1424" s="143"/>
      <c r="G1424" s="143"/>
      <c r="H1424" s="143"/>
      <c r="I1424" s="143"/>
      <c r="J1424" s="144"/>
    </row>
    <row r="1425" spans="1:10" ht="15" customHeight="1">
      <c r="A1425" s="127"/>
      <c r="B1425" s="143"/>
      <c r="C1425" s="143"/>
      <c r="D1425" s="143"/>
      <c r="E1425" s="143"/>
      <c r="F1425" s="143"/>
      <c r="G1425" s="143"/>
      <c r="H1425" s="143"/>
      <c r="I1425" s="143"/>
      <c r="J1425" s="144"/>
    </row>
    <row r="1426" spans="1:10" ht="15" customHeight="1">
      <c r="A1426" s="146"/>
      <c r="B1426" s="147"/>
      <c r="C1426" s="147"/>
      <c r="D1426" s="147"/>
      <c r="E1426" s="147"/>
      <c r="F1426" s="147"/>
      <c r="G1426" s="147"/>
      <c r="H1426" s="147"/>
      <c r="I1426" s="147"/>
      <c r="J1426" s="148"/>
    </row>
    <row r="1428" spans="1:10" ht="15" customHeight="1">
      <c r="F1428" s="134"/>
      <c r="G1428" s="152" t="s">
        <v>2449</v>
      </c>
      <c r="H1428" s="152"/>
      <c r="I1428" s="152"/>
      <c r="J1428" s="155">
        <v>20000</v>
      </c>
    </row>
    <row r="1429" spans="1:10" ht="15" customHeight="1">
      <c r="F1429" s="134"/>
      <c r="G1429" s="132" t="s">
        <v>2463</v>
      </c>
      <c r="J1429" s="139">
        <v>5000</v>
      </c>
    </row>
    <row r="1430" spans="1:10" ht="15" customHeight="1">
      <c r="F1430" s="134"/>
      <c r="G1430" s="132" t="s">
        <v>2450</v>
      </c>
      <c r="J1430" s="140">
        <v>15000</v>
      </c>
    </row>
    <row r="1432" spans="1:10" ht="15" customHeight="1">
      <c r="E1432" s="1" t="s">
        <v>2451</v>
      </c>
      <c r="F1432" s="1" t="s">
        <v>2452</v>
      </c>
      <c r="G1432" s="132" t="s">
        <v>2453</v>
      </c>
      <c r="J1432" s="1" t="s">
        <v>2454</v>
      </c>
    </row>
    <row r="1433" spans="1:10" ht="15" customHeight="1">
      <c r="C1433" s="132" t="s">
        <v>2461</v>
      </c>
      <c r="E1433" s="150"/>
      <c r="F1433" s="150"/>
      <c r="G1433" s="138"/>
      <c r="H1433" s="141"/>
      <c r="J1433" s="139"/>
    </row>
    <row r="1434" spans="1:10" ht="15" customHeight="1">
      <c r="C1434" s="132" t="s">
        <v>2461</v>
      </c>
      <c r="E1434" s="150"/>
      <c r="F1434" s="150"/>
      <c r="G1434" s="138"/>
      <c r="H1434" s="141"/>
      <c r="J1434" s="139"/>
    </row>
    <row r="1435" spans="1:10" ht="15" customHeight="1">
      <c r="C1435" s="132" t="s">
        <v>2461</v>
      </c>
      <c r="E1435" s="150"/>
      <c r="F1435" s="150"/>
      <c r="G1435" s="138"/>
      <c r="H1435" s="141"/>
      <c r="J1435" s="139"/>
    </row>
    <row r="1436" spans="1:10" ht="15" customHeight="1">
      <c r="C1436" s="132" t="s">
        <v>2461</v>
      </c>
      <c r="E1436" s="150"/>
      <c r="F1436" s="150"/>
      <c r="G1436" s="138"/>
      <c r="H1436" s="141"/>
      <c r="J1436" s="139"/>
    </row>
    <row r="1437" spans="1:10" ht="15" customHeight="1">
      <c r="C1437" s="132" t="s">
        <v>2461</v>
      </c>
      <c r="E1437" s="150"/>
      <c r="F1437" s="150"/>
      <c r="G1437" s="138"/>
      <c r="H1437" s="141"/>
      <c r="J1437" s="139"/>
    </row>
    <row r="1438" spans="1:10" ht="15" customHeight="1">
      <c r="C1438" s="132" t="s">
        <v>2461</v>
      </c>
      <c r="E1438" s="150"/>
      <c r="F1438" s="150"/>
      <c r="G1438" s="138"/>
      <c r="H1438" s="141"/>
      <c r="J1438" s="139"/>
    </row>
    <row r="1439" spans="1:10" ht="15" customHeight="1">
      <c r="C1439" s="132" t="s">
        <v>2461</v>
      </c>
      <c r="E1439" s="150"/>
      <c r="F1439" s="150"/>
      <c r="G1439" s="138"/>
      <c r="H1439" s="141"/>
      <c r="J1439" s="139"/>
    </row>
    <row r="1440" spans="1:10" ht="15" customHeight="1">
      <c r="C1440" s="132" t="s">
        <v>2461</v>
      </c>
      <c r="E1440" s="150"/>
      <c r="F1440" s="150"/>
      <c r="G1440" s="138"/>
      <c r="H1440" s="141"/>
      <c r="J1440" s="139"/>
    </row>
    <row r="1441" spans="1:10" ht="15" customHeight="1">
      <c r="C1441" s="132" t="s">
        <v>2461</v>
      </c>
      <c r="E1441" s="150"/>
      <c r="F1441" s="150"/>
      <c r="G1441" s="138"/>
      <c r="H1441" s="141"/>
      <c r="J1441" s="139"/>
    </row>
    <row r="1442" spans="1:10" ht="15" customHeight="1">
      <c r="C1442" s="132" t="s">
        <v>2461</v>
      </c>
      <c r="E1442" s="150"/>
      <c r="F1442" s="150"/>
      <c r="G1442" s="138"/>
      <c r="H1442" s="141"/>
      <c r="J1442" s="139"/>
    </row>
    <row r="1443" spans="1:10" ht="15" customHeight="1">
      <c r="C1443" s="132" t="s">
        <v>2461</v>
      </c>
      <c r="E1443" s="150"/>
      <c r="F1443" s="150"/>
      <c r="G1443" s="138">
        <v>5565</v>
      </c>
      <c r="H1443" s="141"/>
      <c r="J1443" s="139">
        <v>20000</v>
      </c>
    </row>
    <row r="1444" spans="1:10" ht="15" customHeight="1">
      <c r="C1444" s="132" t="s">
        <v>2461</v>
      </c>
      <c r="E1444" s="150"/>
      <c r="F1444" s="150"/>
      <c r="G1444" s="138" t="s">
        <v>2455</v>
      </c>
      <c r="H1444" s="141"/>
      <c r="I1444" s="131" t="s">
        <v>2462</v>
      </c>
      <c r="J1444" s="139">
        <v>-15000</v>
      </c>
    </row>
    <row r="1445" spans="1:10" ht="15" customHeight="1">
      <c r="E1445" s="154"/>
      <c r="F1445" s="154"/>
      <c r="G1445" s="154"/>
      <c r="H1445" s="154"/>
      <c r="I1445" s="154"/>
      <c r="J1445" s="154"/>
    </row>
    <row r="1446" spans="1:10" ht="15" customHeight="1">
      <c r="F1446" s="134"/>
      <c r="G1446" s="152" t="s">
        <v>2466</v>
      </c>
      <c r="H1446" s="152"/>
      <c r="I1446" s="152"/>
      <c r="J1446" s="153">
        <f>SUM(J1433:J1444)</f>
        <v>5000</v>
      </c>
    </row>
    <row r="1447" spans="1:10" ht="15" customHeight="1">
      <c r="F1447" s="134"/>
      <c r="G1447" s="152"/>
      <c r="H1447" s="152"/>
      <c r="I1447" s="152"/>
      <c r="J1447" s="157"/>
    </row>
    <row r="1448" spans="1:10" ht="15" customHeight="1">
      <c r="F1448" s="134"/>
      <c r="G1448" s="142" t="s">
        <v>2458</v>
      </c>
      <c r="H1448" s="142"/>
      <c r="I1448" s="142"/>
      <c r="J1448" s="156">
        <f>+J1446-J1428+J1430</f>
        <v>0</v>
      </c>
    </row>
    <row r="1453" spans="1:10" ht="15" customHeight="1">
      <c r="F1453" s="1"/>
    </row>
    <row r="1454" spans="1:10" ht="15" customHeight="1">
      <c r="F1454" s="1"/>
    </row>
    <row r="1455" spans="1:10" ht="15" customHeight="1">
      <c r="A1455" s="134"/>
    </row>
    <row r="1456" spans="1:10" ht="15" customHeight="1">
      <c r="A1456" s="134"/>
    </row>
    <row r="1457" spans="1:10" ht="15" customHeight="1">
      <c r="A1457" s="133"/>
    </row>
    <row r="1458" spans="1:10" ht="15" customHeight="1">
      <c r="A1458" s="133"/>
    </row>
    <row r="1459" spans="1:10" ht="15" customHeight="1">
      <c r="F1459" s="151" t="s">
        <v>2580</v>
      </c>
    </row>
    <row r="1460" spans="1:10" ht="15" customHeight="1">
      <c r="A1460" s="133"/>
    </row>
    <row r="1461" spans="1:10" ht="15" customHeight="1">
      <c r="A1461" s="133"/>
      <c r="F1461" s="151" t="s">
        <v>2447</v>
      </c>
    </row>
    <row r="1462" spans="1:10" ht="15" customHeight="1">
      <c r="A1462" s="133"/>
    </row>
    <row r="1463" spans="1:10" ht="15" customHeight="1">
      <c r="A1463" s="142"/>
      <c r="B1463" s="142"/>
      <c r="C1463" s="142"/>
      <c r="D1463" s="142"/>
      <c r="E1463" s="142"/>
      <c r="F1463" s="142"/>
      <c r="G1463" s="142"/>
      <c r="J1463" s="142"/>
    </row>
    <row r="1465" spans="1:10" ht="15" customHeight="1">
      <c r="A1465" s="132" t="s">
        <v>2448</v>
      </c>
      <c r="C1465" s="135" t="s">
        <v>2666</v>
      </c>
      <c r="D1465" s="136"/>
      <c r="E1465" s="137"/>
      <c r="G1465" s="149" t="s">
        <v>2465</v>
      </c>
      <c r="H1465" s="135" t="s">
        <v>2763</v>
      </c>
      <c r="I1465" s="136"/>
      <c r="J1465" s="137"/>
    </row>
    <row r="1467" spans="1:10" ht="15" customHeight="1">
      <c r="A1467" s="134" t="s">
        <v>2456</v>
      </c>
      <c r="C1467" s="135" t="s">
        <v>2723</v>
      </c>
      <c r="D1467" s="136"/>
      <c r="E1467" s="136"/>
      <c r="F1467" s="137"/>
      <c r="I1467" s="149" t="s">
        <v>2464</v>
      </c>
      <c r="J1467" s="150">
        <v>1</v>
      </c>
    </row>
    <row r="1468" spans="1:10" ht="15" customHeight="1">
      <c r="D1468" s="134"/>
    </row>
    <row r="1469" spans="1:10" ht="15" customHeight="1">
      <c r="A1469" s="132" t="s">
        <v>2459</v>
      </c>
      <c r="D1469" s="135" t="s">
        <v>2764</v>
      </c>
      <c r="E1469" s="136"/>
      <c r="F1469" s="136"/>
      <c r="G1469" s="136"/>
      <c r="H1469" s="136"/>
      <c r="I1469" s="136"/>
      <c r="J1469" s="137"/>
    </row>
    <row r="1471" spans="1:10" ht="15" customHeight="1">
      <c r="A1471" s="134" t="s">
        <v>2460</v>
      </c>
    </row>
    <row r="1472" spans="1:10" ht="15" customHeight="1">
      <c r="A1472" s="134"/>
    </row>
    <row r="1473" spans="1:10" ht="15" customHeight="1">
      <c r="A1473" s="130" t="s">
        <v>2765</v>
      </c>
      <c r="B1473" s="129"/>
      <c r="C1473" s="129"/>
      <c r="D1473" s="129"/>
      <c r="E1473" s="129"/>
      <c r="F1473" s="129"/>
      <c r="G1473" s="129"/>
      <c r="H1473" s="129"/>
      <c r="I1473" s="129"/>
      <c r="J1473" s="128"/>
    </row>
    <row r="1474" spans="1:10" ht="15" customHeight="1">
      <c r="A1474" s="127" t="s">
        <v>2766</v>
      </c>
      <c r="B1474" s="143"/>
      <c r="C1474" s="143" t="s">
        <v>2767</v>
      </c>
      <c r="D1474" s="143"/>
      <c r="E1474" s="143"/>
      <c r="F1474" s="143"/>
      <c r="G1474" s="143"/>
      <c r="H1474" s="143"/>
      <c r="I1474" s="143"/>
      <c r="J1474" s="144"/>
    </row>
    <row r="1475" spans="1:10" ht="15" customHeight="1">
      <c r="A1475" s="127" t="s">
        <v>2768</v>
      </c>
      <c r="B1475" s="143"/>
      <c r="C1475" s="143"/>
      <c r="D1475" s="143"/>
      <c r="E1475" s="143"/>
      <c r="F1475" s="143"/>
      <c r="G1475" s="143"/>
      <c r="H1475" s="143"/>
      <c r="I1475" s="143"/>
      <c r="J1475" s="144"/>
    </row>
    <row r="1476" spans="1:10" ht="15" customHeight="1">
      <c r="A1476" s="127"/>
      <c r="B1476" s="143"/>
      <c r="C1476" s="143"/>
      <c r="D1476" s="143"/>
      <c r="E1476" s="143"/>
      <c r="F1476" s="143"/>
      <c r="G1476" s="143"/>
      <c r="H1476" s="143"/>
      <c r="I1476" s="143"/>
      <c r="J1476" s="144"/>
    </row>
    <row r="1477" spans="1:10" ht="15" customHeight="1">
      <c r="A1477" s="127"/>
      <c r="B1477" s="143"/>
      <c r="C1477" s="143"/>
      <c r="D1477" s="143"/>
      <c r="E1477" s="143"/>
      <c r="F1477" s="143"/>
      <c r="G1477" s="143"/>
      <c r="H1477" s="143"/>
      <c r="I1477" s="143"/>
      <c r="J1477" s="144"/>
    </row>
    <row r="1478" spans="1:10" ht="15" customHeight="1">
      <c r="A1478" s="127"/>
      <c r="B1478" s="143"/>
      <c r="C1478" s="143"/>
      <c r="D1478" s="143"/>
      <c r="E1478" s="143"/>
      <c r="F1478" s="143"/>
      <c r="G1478" s="143"/>
      <c r="H1478" s="143"/>
      <c r="I1478" s="143"/>
      <c r="J1478" s="144"/>
    </row>
    <row r="1479" spans="1:10" ht="15" customHeight="1">
      <c r="A1479" s="127"/>
      <c r="B1479" s="143"/>
      <c r="C1479" s="143"/>
      <c r="D1479" s="143"/>
      <c r="E1479" s="143"/>
      <c r="F1479" s="143"/>
      <c r="G1479" s="143"/>
      <c r="H1479" s="143"/>
      <c r="I1479" s="143"/>
      <c r="J1479" s="144"/>
    </row>
    <row r="1480" spans="1:10" ht="15" customHeight="1">
      <c r="A1480" s="127"/>
      <c r="B1480" s="143"/>
      <c r="C1480" s="143"/>
      <c r="D1480" s="143"/>
      <c r="E1480" s="143"/>
      <c r="F1480" s="143"/>
      <c r="G1480" s="143"/>
      <c r="H1480" s="143"/>
      <c r="I1480" s="143"/>
      <c r="J1480" s="144"/>
    </row>
    <row r="1481" spans="1:10" ht="15" customHeight="1">
      <c r="A1481" s="145"/>
      <c r="B1481" s="143"/>
      <c r="C1481" s="143"/>
      <c r="D1481" s="143"/>
      <c r="E1481" s="143"/>
      <c r="F1481" s="143"/>
      <c r="G1481" s="143"/>
      <c r="H1481" s="143"/>
      <c r="I1481" s="143"/>
      <c r="J1481" s="144"/>
    </row>
    <row r="1482" spans="1:10" ht="15" customHeight="1">
      <c r="A1482" s="127"/>
      <c r="B1482" s="143"/>
      <c r="C1482" s="143"/>
      <c r="D1482" s="143"/>
      <c r="E1482" s="143"/>
      <c r="F1482" s="143"/>
      <c r="G1482" s="143"/>
      <c r="H1482" s="143"/>
      <c r="I1482" s="143"/>
      <c r="J1482" s="144"/>
    </row>
    <row r="1483" spans="1:10" ht="15" customHeight="1">
      <c r="A1483" s="146"/>
      <c r="B1483" s="147"/>
      <c r="C1483" s="147"/>
      <c r="D1483" s="147"/>
      <c r="E1483" s="147"/>
      <c r="F1483" s="147"/>
      <c r="G1483" s="147"/>
      <c r="H1483" s="147"/>
      <c r="I1483" s="147"/>
      <c r="J1483" s="148"/>
    </row>
    <row r="1485" spans="1:10" ht="15" customHeight="1">
      <c r="F1485" s="134"/>
      <c r="G1485" s="152" t="s">
        <v>2449</v>
      </c>
      <c r="H1485" s="152"/>
      <c r="I1485" s="152"/>
      <c r="J1485" s="155">
        <v>1200</v>
      </c>
    </row>
    <row r="1486" spans="1:10" ht="15" customHeight="1">
      <c r="F1486" s="134"/>
      <c r="G1486" s="132" t="s">
        <v>2463</v>
      </c>
      <c r="J1486" s="139">
        <v>0</v>
      </c>
    </row>
    <row r="1487" spans="1:10" ht="15" customHeight="1">
      <c r="F1487" s="134"/>
      <c r="G1487" s="132" t="s">
        <v>2450</v>
      </c>
      <c r="J1487" s="140">
        <v>0</v>
      </c>
    </row>
    <row r="1489" spans="3:10" ht="15" customHeight="1">
      <c r="E1489" s="1" t="s">
        <v>2451</v>
      </c>
      <c r="F1489" s="1" t="s">
        <v>2452</v>
      </c>
      <c r="G1489" s="132" t="s">
        <v>2453</v>
      </c>
      <c r="J1489" s="1" t="s">
        <v>2454</v>
      </c>
    </row>
    <row r="1490" spans="3:10" ht="15" customHeight="1">
      <c r="C1490" s="132" t="s">
        <v>2461</v>
      </c>
      <c r="E1490" s="150"/>
      <c r="F1490" s="150"/>
      <c r="G1490" s="138"/>
      <c r="H1490" s="141"/>
      <c r="J1490" s="139"/>
    </row>
    <row r="1491" spans="3:10" ht="15" customHeight="1">
      <c r="C1491" s="132" t="s">
        <v>2461</v>
      </c>
      <c r="E1491" s="150"/>
      <c r="F1491" s="150"/>
      <c r="G1491" s="138"/>
      <c r="H1491" s="141"/>
      <c r="J1491" s="139"/>
    </row>
    <row r="1492" spans="3:10" ht="15" customHeight="1">
      <c r="C1492" s="132" t="s">
        <v>2461</v>
      </c>
      <c r="E1492" s="150"/>
      <c r="F1492" s="150"/>
      <c r="G1492" s="138"/>
      <c r="H1492" s="141"/>
      <c r="J1492" s="139"/>
    </row>
    <row r="1493" spans="3:10" ht="15" customHeight="1">
      <c r="C1493" s="132" t="s">
        <v>2461</v>
      </c>
      <c r="E1493" s="150"/>
      <c r="F1493" s="150"/>
      <c r="G1493" s="138"/>
      <c r="H1493" s="141"/>
      <c r="J1493" s="139"/>
    </row>
    <row r="1494" spans="3:10" ht="15" customHeight="1">
      <c r="C1494" s="132" t="s">
        <v>2461</v>
      </c>
      <c r="E1494" s="150"/>
      <c r="F1494" s="150"/>
      <c r="G1494" s="138"/>
      <c r="H1494" s="141"/>
      <c r="J1494" s="139"/>
    </row>
    <row r="1495" spans="3:10" ht="15" customHeight="1">
      <c r="C1495" s="132" t="s">
        <v>2461</v>
      </c>
      <c r="E1495" s="150"/>
      <c r="F1495" s="150"/>
      <c r="G1495" s="138"/>
      <c r="H1495" s="141"/>
      <c r="J1495" s="139"/>
    </row>
    <row r="1496" spans="3:10" ht="15" customHeight="1">
      <c r="C1496" s="132" t="s">
        <v>2461</v>
      </c>
      <c r="E1496" s="150"/>
      <c r="F1496" s="150"/>
      <c r="G1496" s="138"/>
      <c r="H1496" s="141"/>
      <c r="J1496" s="139"/>
    </row>
    <row r="1497" spans="3:10" ht="15" customHeight="1">
      <c r="C1497" s="132" t="s">
        <v>2461</v>
      </c>
      <c r="E1497" s="150"/>
      <c r="F1497" s="150"/>
      <c r="G1497" s="138"/>
      <c r="H1497" s="141"/>
      <c r="J1497" s="139"/>
    </row>
    <row r="1498" spans="3:10" ht="15" customHeight="1">
      <c r="C1498" s="132" t="s">
        <v>2461</v>
      </c>
      <c r="E1498" s="150"/>
      <c r="F1498" s="150"/>
      <c r="G1498" s="138"/>
      <c r="H1498" s="141"/>
      <c r="J1498" s="139"/>
    </row>
    <row r="1499" spans="3:10" ht="15" customHeight="1">
      <c r="C1499" s="132" t="s">
        <v>2461</v>
      </c>
      <c r="E1499" s="150"/>
      <c r="F1499" s="150"/>
      <c r="G1499" s="138"/>
      <c r="H1499" s="141"/>
      <c r="J1499" s="139"/>
    </row>
    <row r="1500" spans="3:10" ht="15" customHeight="1">
      <c r="C1500" s="132" t="s">
        <v>2461</v>
      </c>
      <c r="E1500" s="150"/>
      <c r="F1500" s="150"/>
      <c r="G1500" s="138">
        <v>5463</v>
      </c>
      <c r="H1500" s="141"/>
      <c r="J1500" s="139">
        <v>1200</v>
      </c>
    </row>
    <row r="1501" spans="3:10" ht="15" customHeight="1">
      <c r="C1501" s="132" t="s">
        <v>2461</v>
      </c>
      <c r="E1501" s="150"/>
      <c r="F1501" s="150"/>
      <c r="G1501" s="138"/>
      <c r="H1501" s="141"/>
      <c r="I1501" s="131" t="s">
        <v>2462</v>
      </c>
      <c r="J1501" s="139">
        <v>0</v>
      </c>
    </row>
    <row r="1502" spans="3:10" ht="15" customHeight="1">
      <c r="E1502" s="154"/>
      <c r="F1502" s="154"/>
      <c r="G1502" s="154"/>
      <c r="H1502" s="154"/>
      <c r="I1502" s="154"/>
      <c r="J1502" s="154"/>
    </row>
    <row r="1503" spans="3:10" ht="15" customHeight="1">
      <c r="F1503" s="134"/>
      <c r="G1503" s="152" t="s">
        <v>2466</v>
      </c>
      <c r="H1503" s="152"/>
      <c r="I1503" s="152"/>
      <c r="J1503" s="153">
        <f>SUM(J1490:J1501)</f>
        <v>1200</v>
      </c>
    </row>
    <row r="1504" spans="3:10" ht="15" customHeight="1">
      <c r="F1504" s="134"/>
      <c r="G1504" s="152"/>
      <c r="H1504" s="152"/>
      <c r="I1504" s="152"/>
      <c r="J1504" s="157"/>
    </row>
    <row r="1505" spans="1:10" ht="15" customHeight="1">
      <c r="F1505" s="134"/>
      <c r="G1505" s="142" t="s">
        <v>2458</v>
      </c>
      <c r="H1505" s="142"/>
      <c r="I1505" s="142"/>
      <c r="J1505" s="156">
        <f>+J1503-J1485+J1487</f>
        <v>0</v>
      </c>
    </row>
    <row r="1510" spans="1:10" ht="15" customHeight="1">
      <c r="F1510" s="1"/>
    </row>
    <row r="1511" spans="1:10" ht="15" customHeight="1">
      <c r="F1511" s="1"/>
    </row>
    <row r="1512" spans="1:10" ht="15" customHeight="1">
      <c r="A1512" s="134"/>
    </row>
    <row r="1513" spans="1:10" ht="15" customHeight="1">
      <c r="A1513" s="134"/>
    </row>
    <row r="1514" spans="1:10" ht="15" customHeight="1">
      <c r="A1514" s="133"/>
    </row>
    <row r="1515" spans="1:10" ht="15" customHeight="1">
      <c r="A1515" s="133"/>
    </row>
    <row r="1516" spans="1:10" ht="15" customHeight="1">
      <c r="F1516" s="151" t="s">
        <v>2580</v>
      </c>
    </row>
    <row r="1517" spans="1:10" ht="15" customHeight="1">
      <c r="A1517" s="133"/>
    </row>
    <row r="1518" spans="1:10" ht="15" customHeight="1">
      <c r="A1518" s="133"/>
      <c r="F1518" s="151" t="s">
        <v>2447</v>
      </c>
    </row>
    <row r="1519" spans="1:10" ht="15" customHeight="1">
      <c r="A1519" s="133"/>
    </row>
    <row r="1520" spans="1:10" ht="15" customHeight="1">
      <c r="A1520" s="142"/>
      <c r="B1520" s="142"/>
      <c r="C1520" s="142"/>
      <c r="D1520" s="142"/>
      <c r="E1520" s="142"/>
      <c r="F1520" s="142"/>
      <c r="G1520" s="142"/>
      <c r="J1520" s="142"/>
    </row>
    <row r="1522" spans="1:10" ht="15" customHeight="1">
      <c r="A1522" s="132" t="s">
        <v>2448</v>
      </c>
      <c r="C1522" s="135" t="s">
        <v>2769</v>
      </c>
      <c r="D1522" s="136"/>
      <c r="E1522" s="137"/>
      <c r="G1522" s="149" t="s">
        <v>2465</v>
      </c>
      <c r="H1522" s="135" t="s">
        <v>2770</v>
      </c>
      <c r="I1522" s="136"/>
      <c r="J1522" s="137"/>
    </row>
    <row r="1524" spans="1:10" ht="15" customHeight="1">
      <c r="A1524" s="134" t="s">
        <v>2456</v>
      </c>
      <c r="C1524" s="135" t="s">
        <v>2668</v>
      </c>
      <c r="D1524" s="136"/>
      <c r="E1524" s="136"/>
      <c r="F1524" s="137"/>
      <c r="I1524" s="149" t="s">
        <v>2464</v>
      </c>
      <c r="J1524" s="150">
        <v>1</v>
      </c>
    </row>
    <row r="1525" spans="1:10" ht="15" customHeight="1">
      <c r="D1525" s="134"/>
    </row>
    <row r="1526" spans="1:10" ht="15" customHeight="1">
      <c r="A1526" s="132" t="s">
        <v>2459</v>
      </c>
      <c r="D1526" s="135" t="s">
        <v>2709</v>
      </c>
      <c r="E1526" s="136"/>
      <c r="F1526" s="136"/>
      <c r="G1526" s="136"/>
      <c r="H1526" s="136"/>
      <c r="I1526" s="136"/>
      <c r="J1526" s="137"/>
    </row>
    <row r="1528" spans="1:10" ht="15" customHeight="1">
      <c r="A1528" s="134" t="s">
        <v>2460</v>
      </c>
    </row>
    <row r="1529" spans="1:10" ht="15" customHeight="1">
      <c r="A1529" s="134"/>
    </row>
    <row r="1530" spans="1:10" ht="15" customHeight="1">
      <c r="A1530" s="130" t="s">
        <v>2771</v>
      </c>
      <c r="B1530" s="129"/>
      <c r="C1530" s="129"/>
      <c r="D1530" s="129"/>
      <c r="E1530" s="129"/>
      <c r="F1530" s="129"/>
      <c r="G1530" s="129"/>
      <c r="H1530" s="129"/>
      <c r="I1530" s="129"/>
      <c r="J1530" s="128"/>
    </row>
    <row r="1531" spans="1:10" ht="15" customHeight="1">
      <c r="A1531" s="127"/>
      <c r="B1531" s="143"/>
      <c r="C1531" s="143"/>
      <c r="D1531" s="143"/>
      <c r="E1531" s="143"/>
      <c r="F1531" s="143"/>
      <c r="G1531" s="143"/>
      <c r="H1531" s="143"/>
      <c r="I1531" s="143"/>
      <c r="J1531" s="144"/>
    </row>
    <row r="1532" spans="1:10" ht="15" customHeight="1">
      <c r="A1532" s="127"/>
      <c r="B1532" s="143"/>
      <c r="C1532" s="143"/>
      <c r="D1532" s="143"/>
      <c r="E1532" s="143"/>
      <c r="F1532" s="143"/>
      <c r="G1532" s="143"/>
      <c r="H1532" s="143"/>
      <c r="I1532" s="143"/>
      <c r="J1532" s="144"/>
    </row>
    <row r="1533" spans="1:10" ht="15" customHeight="1">
      <c r="A1533" s="127"/>
      <c r="B1533" s="143"/>
      <c r="C1533" s="143"/>
      <c r="D1533" s="143"/>
      <c r="E1533" s="143"/>
      <c r="F1533" s="143"/>
      <c r="G1533" s="143"/>
      <c r="H1533" s="143"/>
      <c r="I1533" s="143"/>
      <c r="J1533" s="144"/>
    </row>
    <row r="1534" spans="1:10" ht="15" customHeight="1">
      <c r="A1534" s="127"/>
      <c r="B1534" s="143"/>
      <c r="C1534" s="143"/>
      <c r="D1534" s="143"/>
      <c r="E1534" s="143"/>
      <c r="F1534" s="143"/>
      <c r="G1534" s="143"/>
      <c r="H1534" s="143"/>
      <c r="I1534" s="143"/>
      <c r="J1534" s="144"/>
    </row>
    <row r="1535" spans="1:10" ht="15" customHeight="1">
      <c r="A1535" s="127"/>
      <c r="B1535" s="143"/>
      <c r="C1535" s="143"/>
      <c r="D1535" s="143"/>
      <c r="E1535" s="143"/>
      <c r="F1535" s="143"/>
      <c r="G1535" s="143"/>
      <c r="H1535" s="143"/>
      <c r="I1535" s="143"/>
      <c r="J1535" s="144"/>
    </row>
    <row r="1536" spans="1:10" ht="15" customHeight="1">
      <c r="A1536" s="127"/>
      <c r="B1536" s="143"/>
      <c r="C1536" s="143"/>
      <c r="D1536" s="143"/>
      <c r="E1536" s="143"/>
      <c r="F1536" s="143"/>
      <c r="G1536" s="143"/>
      <c r="H1536" s="143"/>
      <c r="I1536" s="143"/>
      <c r="J1536" s="144"/>
    </row>
    <row r="1537" spans="1:10" ht="15" customHeight="1">
      <c r="A1537" s="127"/>
      <c r="B1537" s="143"/>
      <c r="C1537" s="143"/>
      <c r="D1537" s="143"/>
      <c r="E1537" s="143"/>
      <c r="F1537" s="143"/>
      <c r="G1537" s="143"/>
      <c r="H1537" s="143"/>
      <c r="I1537" s="143"/>
      <c r="J1537" s="144"/>
    </row>
    <row r="1538" spans="1:10" ht="15" customHeight="1">
      <c r="A1538" s="145"/>
      <c r="B1538" s="143"/>
      <c r="C1538" s="143"/>
      <c r="D1538" s="143"/>
      <c r="E1538" s="143"/>
      <c r="F1538" s="143"/>
      <c r="G1538" s="143"/>
      <c r="H1538" s="143"/>
      <c r="I1538" s="143"/>
      <c r="J1538" s="144"/>
    </row>
    <row r="1539" spans="1:10" ht="15" customHeight="1">
      <c r="A1539" s="127"/>
      <c r="B1539" s="143"/>
      <c r="C1539" s="143"/>
      <c r="D1539" s="143"/>
      <c r="E1539" s="143"/>
      <c r="F1539" s="143"/>
      <c r="G1539" s="143"/>
      <c r="H1539" s="143"/>
      <c r="I1539" s="143"/>
      <c r="J1539" s="144"/>
    </row>
    <row r="1540" spans="1:10" ht="15" customHeight="1">
      <c r="A1540" s="146"/>
      <c r="B1540" s="147"/>
      <c r="C1540" s="147"/>
      <c r="D1540" s="147"/>
      <c r="E1540" s="147"/>
      <c r="F1540" s="147"/>
      <c r="G1540" s="147"/>
      <c r="H1540" s="147"/>
      <c r="I1540" s="147"/>
      <c r="J1540" s="148"/>
    </row>
    <row r="1542" spans="1:10" ht="15" customHeight="1">
      <c r="F1542" s="134"/>
      <c r="G1542" s="152" t="s">
        <v>2449</v>
      </c>
      <c r="H1542" s="152"/>
      <c r="I1542" s="152"/>
      <c r="J1542" s="155">
        <v>23100</v>
      </c>
    </row>
    <row r="1543" spans="1:10" ht="15" customHeight="1">
      <c r="F1543" s="134"/>
      <c r="G1543" s="132" t="s">
        <v>2463</v>
      </c>
      <c r="J1543" s="139">
        <v>0</v>
      </c>
    </row>
    <row r="1544" spans="1:10" ht="15" customHeight="1">
      <c r="F1544" s="134"/>
      <c r="G1544" s="132" t="s">
        <v>2450</v>
      </c>
      <c r="J1544" s="140">
        <v>0</v>
      </c>
    </row>
    <row r="1546" spans="1:10" ht="15" customHeight="1">
      <c r="E1546" s="1" t="s">
        <v>2451</v>
      </c>
      <c r="F1546" s="1" t="s">
        <v>2452</v>
      </c>
      <c r="G1546" s="132" t="s">
        <v>2453</v>
      </c>
      <c r="J1546" s="1" t="s">
        <v>2454</v>
      </c>
    </row>
    <row r="1547" spans="1:10" ht="15" customHeight="1">
      <c r="C1547" s="132" t="s">
        <v>2461</v>
      </c>
      <c r="E1547" s="150"/>
      <c r="F1547" s="150"/>
      <c r="G1547" s="138"/>
      <c r="H1547" s="141"/>
      <c r="J1547" s="139"/>
    </row>
    <row r="1548" spans="1:10" ht="15" customHeight="1">
      <c r="C1548" s="132" t="s">
        <v>2461</v>
      </c>
      <c r="E1548" s="150"/>
      <c r="F1548" s="150"/>
      <c r="G1548" s="138"/>
      <c r="H1548" s="141"/>
      <c r="J1548" s="139"/>
    </row>
    <row r="1549" spans="1:10" ht="15" customHeight="1">
      <c r="C1549" s="132" t="s">
        <v>2461</v>
      </c>
      <c r="E1549" s="150"/>
      <c r="F1549" s="150"/>
      <c r="G1549" s="138"/>
      <c r="H1549" s="141"/>
      <c r="J1549" s="139"/>
    </row>
    <row r="1550" spans="1:10" ht="15" customHeight="1">
      <c r="C1550" s="132" t="s">
        <v>2461</v>
      </c>
      <c r="E1550" s="150"/>
      <c r="F1550" s="150"/>
      <c r="G1550" s="138"/>
      <c r="H1550" s="141"/>
      <c r="J1550" s="139"/>
    </row>
    <row r="1551" spans="1:10" ht="15" customHeight="1">
      <c r="C1551" s="132" t="s">
        <v>2461</v>
      </c>
      <c r="E1551" s="150"/>
      <c r="F1551" s="150"/>
      <c r="G1551" s="138"/>
      <c r="H1551" s="141"/>
      <c r="J1551" s="139"/>
    </row>
    <row r="1552" spans="1:10" ht="15" customHeight="1">
      <c r="C1552" s="132" t="s">
        <v>2461</v>
      </c>
      <c r="E1552" s="150"/>
      <c r="F1552" s="150"/>
      <c r="G1552" s="138"/>
      <c r="H1552" s="141"/>
      <c r="J1552" s="139"/>
    </row>
    <row r="1553" spans="3:10" ht="15" customHeight="1">
      <c r="C1553" s="132" t="s">
        <v>2461</v>
      </c>
      <c r="E1553" s="150"/>
      <c r="F1553" s="150"/>
      <c r="G1553" s="138"/>
      <c r="H1553" s="141"/>
      <c r="J1553" s="139"/>
    </row>
    <row r="1554" spans="3:10" ht="15" customHeight="1">
      <c r="C1554" s="132" t="s">
        <v>2461</v>
      </c>
      <c r="E1554" s="150"/>
      <c r="F1554" s="150"/>
      <c r="G1554" s="138"/>
      <c r="H1554" s="141"/>
      <c r="J1554" s="139"/>
    </row>
    <row r="1555" spans="3:10" ht="15" customHeight="1">
      <c r="C1555" s="132" t="s">
        <v>2461</v>
      </c>
      <c r="E1555" s="150"/>
      <c r="F1555" s="150"/>
      <c r="G1555" s="138"/>
      <c r="H1555" s="141"/>
      <c r="J1555" s="139"/>
    </row>
    <row r="1556" spans="3:10" ht="15" customHeight="1">
      <c r="C1556" s="132" t="s">
        <v>2461</v>
      </c>
      <c r="E1556" s="150"/>
      <c r="F1556" s="150"/>
      <c r="G1556" s="138"/>
      <c r="H1556" s="141"/>
      <c r="J1556" s="139"/>
    </row>
    <row r="1557" spans="3:10" ht="15" customHeight="1">
      <c r="C1557" s="132" t="s">
        <v>2461</v>
      </c>
      <c r="E1557" s="150"/>
      <c r="F1557" s="150"/>
      <c r="G1557" s="138">
        <v>5230</v>
      </c>
      <c r="H1557" s="141"/>
      <c r="J1557" s="139">
        <v>23100</v>
      </c>
    </row>
    <row r="1558" spans="3:10" ht="15" customHeight="1">
      <c r="C1558" s="132" t="s">
        <v>2461</v>
      </c>
      <c r="E1558" s="150"/>
      <c r="F1558" s="150"/>
      <c r="G1558" s="138"/>
      <c r="H1558" s="141"/>
      <c r="I1558" s="131" t="s">
        <v>2462</v>
      </c>
      <c r="J1558" s="139">
        <v>0</v>
      </c>
    </row>
    <row r="1559" spans="3:10" ht="15" customHeight="1">
      <c r="E1559" s="154"/>
      <c r="F1559" s="154"/>
      <c r="G1559" s="154"/>
      <c r="H1559" s="154"/>
      <c r="I1559" s="154"/>
      <c r="J1559" s="154"/>
    </row>
    <row r="1560" spans="3:10" ht="15" customHeight="1">
      <c r="F1560" s="134"/>
      <c r="G1560" s="152" t="s">
        <v>2466</v>
      </c>
      <c r="H1560" s="152"/>
      <c r="I1560" s="152"/>
      <c r="J1560" s="153">
        <f>SUM(J1547:J1558)</f>
        <v>23100</v>
      </c>
    </row>
    <row r="1561" spans="3:10" ht="15" customHeight="1">
      <c r="F1561" s="134"/>
      <c r="G1561" s="152"/>
      <c r="H1561" s="152"/>
      <c r="I1561" s="152"/>
      <c r="J1561" s="157"/>
    </row>
    <row r="1562" spans="3:10" ht="15" customHeight="1">
      <c r="F1562" s="134"/>
      <c r="G1562" s="142" t="s">
        <v>2458</v>
      </c>
      <c r="H1562" s="142"/>
      <c r="I1562" s="142"/>
      <c r="J1562" s="156">
        <f>+J1560-J1542+J1544</f>
        <v>0</v>
      </c>
    </row>
    <row r="1567" spans="3:10" ht="15" customHeight="1">
      <c r="F1567" s="1"/>
    </row>
    <row r="1568" spans="3:10" ht="15" customHeight="1">
      <c r="F1568" s="1"/>
    </row>
    <row r="1569" spans="1:10" ht="15" customHeight="1">
      <c r="A1569" s="134"/>
    </row>
    <row r="1570" spans="1:10" ht="15" customHeight="1">
      <c r="A1570" s="134"/>
    </row>
    <row r="1571" spans="1:10" ht="15" customHeight="1">
      <c r="A1571" s="133"/>
    </row>
    <row r="1572" spans="1:10" ht="15" customHeight="1">
      <c r="A1572" s="133"/>
    </row>
    <row r="1573" spans="1:10" ht="15" customHeight="1">
      <c r="F1573" s="151" t="s">
        <v>2580</v>
      </c>
    </row>
    <row r="1574" spans="1:10" ht="15" customHeight="1">
      <c r="A1574" s="133"/>
    </row>
    <row r="1575" spans="1:10" ht="15" customHeight="1">
      <c r="A1575" s="133"/>
      <c r="F1575" s="151" t="s">
        <v>2447</v>
      </c>
    </row>
    <row r="1576" spans="1:10" ht="15" customHeight="1">
      <c r="A1576" s="133"/>
    </row>
    <row r="1577" spans="1:10" ht="15" customHeight="1">
      <c r="A1577" s="142"/>
      <c r="B1577" s="142"/>
      <c r="C1577" s="142"/>
      <c r="D1577" s="142"/>
      <c r="E1577" s="142"/>
      <c r="F1577" s="142"/>
      <c r="G1577" s="142"/>
      <c r="J1577" s="142"/>
    </row>
    <row r="1579" spans="1:10" ht="15" customHeight="1">
      <c r="A1579" s="132" t="s">
        <v>2448</v>
      </c>
      <c r="C1579" s="135" t="s">
        <v>2769</v>
      </c>
      <c r="D1579" s="136"/>
      <c r="E1579" s="137"/>
      <c r="G1579" s="149" t="s">
        <v>2465</v>
      </c>
      <c r="H1579" s="135" t="s">
        <v>2770</v>
      </c>
      <c r="I1579" s="136"/>
      <c r="J1579" s="137"/>
    </row>
    <row r="1581" spans="1:10" ht="15" customHeight="1">
      <c r="A1581" s="134" t="s">
        <v>2456</v>
      </c>
      <c r="C1581" s="135" t="s">
        <v>2668</v>
      </c>
      <c r="D1581" s="136"/>
      <c r="E1581" s="136"/>
      <c r="F1581" s="137"/>
      <c r="I1581" s="149" t="s">
        <v>2464</v>
      </c>
      <c r="J1581" s="150">
        <v>1</v>
      </c>
    </row>
    <row r="1582" spans="1:10" ht="15" customHeight="1">
      <c r="D1582" s="134"/>
    </row>
    <row r="1583" spans="1:10" ht="15" customHeight="1">
      <c r="A1583" s="132" t="s">
        <v>2459</v>
      </c>
      <c r="D1583" s="135" t="s">
        <v>2745</v>
      </c>
      <c r="E1583" s="136"/>
      <c r="F1583" s="136"/>
      <c r="G1583" s="136"/>
      <c r="H1583" s="136"/>
      <c r="I1583" s="136"/>
      <c r="J1583" s="137"/>
    </row>
    <row r="1585" spans="1:10" ht="15" customHeight="1">
      <c r="A1585" s="134" t="s">
        <v>2460</v>
      </c>
    </row>
    <row r="1586" spans="1:10" ht="15" customHeight="1">
      <c r="A1586" s="134"/>
    </row>
    <row r="1587" spans="1:10" ht="15" customHeight="1">
      <c r="A1587" s="130" t="s">
        <v>2772</v>
      </c>
      <c r="B1587" s="129"/>
      <c r="C1587" s="129"/>
      <c r="D1587" s="129"/>
      <c r="E1587" s="129"/>
      <c r="F1587" s="129"/>
      <c r="G1587" s="129"/>
      <c r="H1587" s="129"/>
      <c r="I1587" s="129"/>
      <c r="J1587" s="128"/>
    </row>
    <row r="1588" spans="1:10" ht="15" customHeight="1">
      <c r="A1588" s="127" t="s">
        <v>2773</v>
      </c>
      <c r="B1588" s="143"/>
      <c r="C1588" s="143"/>
      <c r="D1588" s="143"/>
      <c r="E1588" s="143"/>
      <c r="F1588" s="143"/>
      <c r="G1588" s="143"/>
      <c r="H1588" s="143"/>
      <c r="I1588" s="143"/>
      <c r="J1588" s="144"/>
    </row>
    <row r="1589" spans="1:10" ht="15" customHeight="1">
      <c r="A1589" s="127" t="s">
        <v>2774</v>
      </c>
      <c r="B1589" s="143"/>
      <c r="C1589" s="143"/>
      <c r="D1589" s="143"/>
      <c r="E1589" s="143"/>
      <c r="F1589" s="143"/>
      <c r="G1589" s="143"/>
      <c r="H1589" s="143"/>
      <c r="I1589" s="143"/>
      <c r="J1589" s="144"/>
    </row>
    <row r="1590" spans="1:10" ht="15" customHeight="1">
      <c r="A1590" s="127"/>
      <c r="B1590" s="143"/>
      <c r="C1590" s="143"/>
      <c r="D1590" s="143"/>
      <c r="E1590" s="143"/>
      <c r="F1590" s="143"/>
      <c r="G1590" s="143"/>
      <c r="H1590" s="143"/>
      <c r="I1590" s="143"/>
      <c r="J1590" s="144"/>
    </row>
    <row r="1591" spans="1:10" ht="15" customHeight="1">
      <c r="A1591" s="127"/>
      <c r="B1591" s="143"/>
      <c r="C1591" s="143"/>
      <c r="D1591" s="143"/>
      <c r="E1591" s="143"/>
      <c r="F1591" s="143"/>
      <c r="G1591" s="143"/>
      <c r="H1591" s="143"/>
      <c r="I1591" s="143"/>
      <c r="J1591" s="144"/>
    </row>
    <row r="1592" spans="1:10" ht="15" customHeight="1">
      <c r="A1592" s="127"/>
      <c r="B1592" s="143"/>
      <c r="C1592" s="143"/>
      <c r="D1592" s="143"/>
      <c r="E1592" s="143"/>
      <c r="F1592" s="143"/>
      <c r="G1592" s="143"/>
      <c r="H1592" s="143"/>
      <c r="I1592" s="143"/>
      <c r="J1592" s="144"/>
    </row>
    <row r="1593" spans="1:10" ht="15" customHeight="1">
      <c r="A1593" s="127"/>
      <c r="B1593" s="143"/>
      <c r="C1593" s="143"/>
      <c r="D1593" s="143"/>
      <c r="E1593" s="143"/>
      <c r="F1593" s="143"/>
      <c r="G1593" s="143"/>
      <c r="H1593" s="143"/>
      <c r="I1593" s="143"/>
      <c r="J1593" s="144"/>
    </row>
    <row r="1594" spans="1:10" ht="15" customHeight="1">
      <c r="A1594" s="127"/>
      <c r="B1594" s="143"/>
      <c r="C1594" s="143"/>
      <c r="D1594" s="143"/>
      <c r="E1594" s="143"/>
      <c r="F1594" s="143"/>
      <c r="G1594" s="143"/>
      <c r="H1594" s="143"/>
      <c r="I1594" s="143"/>
      <c r="J1594" s="144"/>
    </row>
    <row r="1595" spans="1:10" ht="15" customHeight="1">
      <c r="A1595" s="145"/>
      <c r="B1595" s="143"/>
      <c r="C1595" s="143"/>
      <c r="D1595" s="143"/>
      <c r="E1595" s="143"/>
      <c r="F1595" s="143"/>
      <c r="G1595" s="143"/>
      <c r="H1595" s="143"/>
      <c r="I1595" s="143"/>
      <c r="J1595" s="144"/>
    </row>
    <row r="1596" spans="1:10" ht="15" customHeight="1">
      <c r="A1596" s="127"/>
      <c r="B1596" s="143"/>
      <c r="C1596" s="143"/>
      <c r="D1596" s="143"/>
      <c r="E1596" s="143"/>
      <c r="F1596" s="143"/>
      <c r="G1596" s="143"/>
      <c r="H1596" s="143"/>
      <c r="I1596" s="143"/>
      <c r="J1596" s="144"/>
    </row>
    <row r="1597" spans="1:10" ht="15" customHeight="1">
      <c r="A1597" s="146"/>
      <c r="B1597" s="147"/>
      <c r="C1597" s="147"/>
      <c r="D1597" s="147"/>
      <c r="E1597" s="147"/>
      <c r="F1597" s="147"/>
      <c r="G1597" s="147"/>
      <c r="H1597" s="147"/>
      <c r="I1597" s="147"/>
      <c r="J1597" s="148"/>
    </row>
    <row r="1599" spans="1:10" ht="15" customHeight="1">
      <c r="F1599" s="134"/>
      <c r="G1599" s="152" t="s">
        <v>2449</v>
      </c>
      <c r="H1599" s="152"/>
      <c r="I1599" s="152"/>
      <c r="J1599" s="155">
        <v>600</v>
      </c>
    </row>
    <row r="1600" spans="1:10" ht="15" customHeight="1">
      <c r="F1600" s="134"/>
      <c r="G1600" s="132" t="s">
        <v>2463</v>
      </c>
      <c r="J1600" s="139">
        <v>0</v>
      </c>
    </row>
    <row r="1601" spans="3:10" ht="15" customHeight="1">
      <c r="F1601" s="134"/>
      <c r="G1601" s="132" t="s">
        <v>2450</v>
      </c>
      <c r="J1601" s="140">
        <v>0</v>
      </c>
    </row>
    <row r="1603" spans="3:10" ht="15" customHeight="1">
      <c r="E1603" s="1" t="s">
        <v>2451</v>
      </c>
      <c r="F1603" s="1" t="s">
        <v>2452</v>
      </c>
      <c r="G1603" s="132" t="s">
        <v>2453</v>
      </c>
      <c r="J1603" s="1" t="s">
        <v>2454</v>
      </c>
    </row>
    <row r="1604" spans="3:10" ht="15" customHeight="1">
      <c r="C1604" s="132" t="s">
        <v>2461</v>
      </c>
      <c r="E1604" s="150"/>
      <c r="F1604" s="150"/>
      <c r="G1604" s="138"/>
      <c r="H1604" s="141"/>
      <c r="J1604" s="139"/>
    </row>
    <row r="1605" spans="3:10" ht="15" customHeight="1">
      <c r="C1605" s="132" t="s">
        <v>2461</v>
      </c>
      <c r="E1605" s="150"/>
      <c r="F1605" s="150"/>
      <c r="G1605" s="138"/>
      <c r="H1605" s="141"/>
      <c r="J1605" s="139"/>
    </row>
    <row r="1606" spans="3:10" ht="15" customHeight="1">
      <c r="C1606" s="132" t="s">
        <v>2461</v>
      </c>
      <c r="E1606" s="150"/>
      <c r="F1606" s="150"/>
      <c r="G1606" s="138"/>
      <c r="H1606" s="141"/>
      <c r="J1606" s="139"/>
    </row>
    <row r="1607" spans="3:10" ht="15" customHeight="1">
      <c r="C1607" s="132" t="s">
        <v>2461</v>
      </c>
      <c r="E1607" s="150"/>
      <c r="F1607" s="150"/>
      <c r="G1607" s="138"/>
      <c r="H1607" s="141"/>
      <c r="J1607" s="139"/>
    </row>
    <row r="1608" spans="3:10" ht="15" customHeight="1">
      <c r="C1608" s="132" t="s">
        <v>2461</v>
      </c>
      <c r="E1608" s="150"/>
      <c r="F1608" s="150"/>
      <c r="G1608" s="138"/>
      <c r="H1608" s="141"/>
      <c r="J1608" s="139"/>
    </row>
    <row r="1609" spans="3:10" ht="15" customHeight="1">
      <c r="C1609" s="132" t="s">
        <v>2461</v>
      </c>
      <c r="E1609" s="150"/>
      <c r="F1609" s="150"/>
      <c r="G1609" s="138"/>
      <c r="H1609" s="141"/>
      <c r="J1609" s="139"/>
    </row>
    <row r="1610" spans="3:10" ht="15" customHeight="1">
      <c r="C1610" s="132" t="s">
        <v>2461</v>
      </c>
      <c r="E1610" s="150"/>
      <c r="F1610" s="150"/>
      <c r="G1610" s="138"/>
      <c r="H1610" s="141"/>
      <c r="J1610" s="139"/>
    </row>
    <row r="1611" spans="3:10" ht="15" customHeight="1">
      <c r="C1611" s="132" t="s">
        <v>2461</v>
      </c>
      <c r="E1611" s="150"/>
      <c r="F1611" s="150"/>
      <c r="G1611" s="138"/>
      <c r="H1611" s="141"/>
      <c r="J1611" s="139"/>
    </row>
    <row r="1612" spans="3:10" ht="15" customHeight="1">
      <c r="C1612" s="132" t="s">
        <v>2461</v>
      </c>
      <c r="E1612" s="150"/>
      <c r="F1612" s="150"/>
      <c r="G1612" s="138"/>
      <c r="H1612" s="141"/>
      <c r="J1612" s="139"/>
    </row>
    <row r="1613" spans="3:10" ht="15" customHeight="1">
      <c r="C1613" s="132" t="s">
        <v>2461</v>
      </c>
      <c r="E1613" s="150"/>
      <c r="F1613" s="150"/>
      <c r="G1613" s="138"/>
      <c r="H1613" s="141"/>
      <c r="J1613" s="139"/>
    </row>
    <row r="1614" spans="3:10" ht="15" customHeight="1">
      <c r="C1614" s="132" t="s">
        <v>2461</v>
      </c>
      <c r="E1614" s="150"/>
      <c r="F1614" s="150"/>
      <c r="G1614" s="138">
        <v>5235</v>
      </c>
      <c r="H1614" s="141"/>
      <c r="J1614" s="139">
        <v>600</v>
      </c>
    </row>
    <row r="1615" spans="3:10" ht="15" customHeight="1">
      <c r="C1615" s="132" t="s">
        <v>2461</v>
      </c>
      <c r="E1615" s="150"/>
      <c r="F1615" s="150"/>
      <c r="G1615" s="138">
        <v>0</v>
      </c>
      <c r="H1615" s="141"/>
      <c r="I1615" s="131" t="s">
        <v>2462</v>
      </c>
      <c r="J1615" s="139">
        <v>0</v>
      </c>
    </row>
    <row r="1616" spans="3:10" ht="15" customHeight="1">
      <c r="E1616" s="154"/>
      <c r="F1616" s="154"/>
      <c r="G1616" s="154"/>
      <c r="H1616" s="154"/>
      <c r="I1616" s="154"/>
      <c r="J1616" s="154"/>
    </row>
    <row r="1617" spans="1:10" ht="15" customHeight="1">
      <c r="F1617" s="134"/>
      <c r="G1617" s="152" t="s">
        <v>2466</v>
      </c>
      <c r="H1617" s="152"/>
      <c r="I1617" s="152"/>
      <c r="J1617" s="153">
        <f>SUM(J1604:J1615)</f>
        <v>600</v>
      </c>
    </row>
    <row r="1618" spans="1:10" ht="15" customHeight="1">
      <c r="F1618" s="134"/>
      <c r="G1618" s="152"/>
      <c r="H1618" s="152"/>
      <c r="I1618" s="152"/>
      <c r="J1618" s="157"/>
    </row>
    <row r="1619" spans="1:10" ht="15" customHeight="1">
      <c r="F1619" s="134"/>
      <c r="G1619" s="142" t="s">
        <v>2458</v>
      </c>
      <c r="H1619" s="142"/>
      <c r="I1619" s="142"/>
      <c r="J1619" s="156">
        <f>+J1617-J1599+J1601</f>
        <v>0</v>
      </c>
    </row>
    <row r="1626" spans="1:10" ht="15" customHeight="1">
      <c r="F1626" s="1"/>
    </row>
    <row r="1627" spans="1:10" ht="15" customHeight="1">
      <c r="F1627" s="1"/>
    </row>
    <row r="1628" spans="1:10" ht="15" customHeight="1">
      <c r="A1628" s="134"/>
    </row>
    <row r="1629" spans="1:10" ht="15" customHeight="1">
      <c r="A1629" s="134"/>
    </row>
    <row r="1630" spans="1:10" ht="15" customHeight="1">
      <c r="A1630" s="133"/>
    </row>
    <row r="1631" spans="1:10" ht="15" customHeight="1">
      <c r="A1631" s="133"/>
    </row>
    <row r="1632" spans="1:10" ht="15" customHeight="1">
      <c r="F1632" s="151" t="s">
        <v>2580</v>
      </c>
    </row>
    <row r="1633" spans="1:10" ht="15" customHeight="1">
      <c r="A1633" s="133"/>
    </row>
    <row r="1634" spans="1:10" ht="15" customHeight="1">
      <c r="A1634" s="133"/>
      <c r="F1634" s="151" t="s">
        <v>2447</v>
      </c>
    </row>
    <row r="1635" spans="1:10" ht="15" customHeight="1">
      <c r="A1635" s="133"/>
    </row>
    <row r="1636" spans="1:10" ht="15" customHeight="1">
      <c r="A1636" s="142"/>
      <c r="B1636" s="142"/>
      <c r="C1636" s="142"/>
      <c r="D1636" s="142"/>
      <c r="E1636" s="142"/>
      <c r="F1636" s="142"/>
      <c r="G1636" s="142"/>
      <c r="J1636" s="142"/>
    </row>
    <row r="1638" spans="1:10" ht="15" customHeight="1">
      <c r="A1638" s="132" t="s">
        <v>2448</v>
      </c>
      <c r="C1638" s="135" t="s">
        <v>2769</v>
      </c>
      <c r="D1638" s="136"/>
      <c r="E1638" s="137"/>
      <c r="G1638" s="149" t="s">
        <v>2465</v>
      </c>
      <c r="H1638" s="135" t="s">
        <v>2770</v>
      </c>
      <c r="I1638" s="136"/>
      <c r="J1638" s="137"/>
    </row>
    <row r="1640" spans="1:10" ht="15" customHeight="1">
      <c r="A1640" s="134" t="s">
        <v>2456</v>
      </c>
      <c r="C1640" s="135" t="s">
        <v>2668</v>
      </c>
      <c r="D1640" s="136"/>
      <c r="E1640" s="136"/>
      <c r="F1640" s="137"/>
      <c r="I1640" s="149" t="s">
        <v>2464</v>
      </c>
      <c r="J1640" s="150">
        <v>1</v>
      </c>
    </row>
    <row r="1641" spans="1:10" ht="15" customHeight="1">
      <c r="D1641" s="134"/>
    </row>
    <row r="1642" spans="1:10" ht="15" customHeight="1">
      <c r="A1642" s="132" t="s">
        <v>2459</v>
      </c>
      <c r="D1642" s="135" t="s">
        <v>2775</v>
      </c>
      <c r="E1642" s="136"/>
      <c r="F1642" s="136"/>
      <c r="G1642" s="136"/>
      <c r="H1642" s="136"/>
      <c r="I1642" s="136"/>
      <c r="J1642" s="137"/>
    </row>
    <row r="1644" spans="1:10" ht="15" customHeight="1">
      <c r="A1644" s="134" t="s">
        <v>2460</v>
      </c>
    </row>
    <row r="1645" spans="1:10" ht="15" customHeight="1">
      <c r="A1645" s="134"/>
    </row>
    <row r="1646" spans="1:10" ht="15" customHeight="1">
      <c r="A1646" s="130" t="s">
        <v>2776</v>
      </c>
      <c r="B1646" s="129"/>
      <c r="C1646" s="129"/>
      <c r="D1646" s="129"/>
      <c r="E1646" s="129"/>
      <c r="F1646" s="129"/>
      <c r="G1646" s="129"/>
      <c r="H1646" s="129"/>
      <c r="I1646" s="129"/>
      <c r="J1646" s="128"/>
    </row>
    <row r="1647" spans="1:10" ht="15" customHeight="1">
      <c r="A1647" s="127"/>
      <c r="B1647" s="143"/>
      <c r="C1647" s="143"/>
      <c r="D1647" s="143"/>
      <c r="E1647" s="143"/>
      <c r="F1647" s="143"/>
      <c r="G1647" s="143"/>
      <c r="H1647" s="143"/>
      <c r="I1647" s="143"/>
      <c r="J1647" s="144"/>
    </row>
    <row r="1648" spans="1:10" ht="15" customHeight="1">
      <c r="A1648" s="127"/>
      <c r="B1648" s="143"/>
      <c r="C1648" s="143"/>
      <c r="D1648" s="143"/>
      <c r="E1648" s="143"/>
      <c r="F1648" s="143"/>
      <c r="G1648" s="143"/>
      <c r="H1648" s="143"/>
      <c r="I1648" s="143"/>
      <c r="J1648" s="144"/>
    </row>
    <row r="1649" spans="1:10" ht="15" customHeight="1">
      <c r="A1649" s="127"/>
      <c r="B1649" s="143"/>
      <c r="C1649" s="143"/>
      <c r="D1649" s="143"/>
      <c r="E1649" s="143"/>
      <c r="F1649" s="143"/>
      <c r="G1649" s="143"/>
      <c r="H1649" s="143"/>
      <c r="I1649" s="143"/>
      <c r="J1649" s="144"/>
    </row>
    <row r="1650" spans="1:10" ht="15" customHeight="1">
      <c r="A1650" s="127"/>
      <c r="B1650" s="143"/>
      <c r="C1650" s="143"/>
      <c r="D1650" s="143"/>
      <c r="E1650" s="143"/>
      <c r="F1650" s="143"/>
      <c r="G1650" s="143"/>
      <c r="H1650" s="143"/>
      <c r="I1650" s="143"/>
      <c r="J1650" s="144"/>
    </row>
    <row r="1651" spans="1:10" ht="15" customHeight="1">
      <c r="A1651" s="127"/>
      <c r="B1651" s="143"/>
      <c r="C1651" s="143"/>
      <c r="D1651" s="143"/>
      <c r="E1651" s="143"/>
      <c r="F1651" s="143"/>
      <c r="G1651" s="143"/>
      <c r="H1651" s="143"/>
      <c r="I1651" s="143"/>
      <c r="J1651" s="144"/>
    </row>
    <row r="1652" spans="1:10" ht="15" customHeight="1">
      <c r="A1652" s="127"/>
      <c r="B1652" s="143"/>
      <c r="C1652" s="143"/>
      <c r="D1652" s="143"/>
      <c r="E1652" s="143"/>
      <c r="F1652" s="143"/>
      <c r="G1652" s="143"/>
      <c r="H1652" s="143"/>
      <c r="I1652" s="143"/>
      <c r="J1652" s="144"/>
    </row>
    <row r="1653" spans="1:10" ht="15" customHeight="1">
      <c r="A1653" s="127"/>
      <c r="B1653" s="143"/>
      <c r="C1653" s="143"/>
      <c r="D1653" s="143"/>
      <c r="E1653" s="143"/>
      <c r="F1653" s="143"/>
      <c r="G1653" s="143"/>
      <c r="H1653" s="143"/>
      <c r="I1653" s="143"/>
      <c r="J1653" s="144"/>
    </row>
    <row r="1654" spans="1:10" ht="15" customHeight="1">
      <c r="A1654" s="145"/>
      <c r="B1654" s="143"/>
      <c r="C1654" s="143"/>
      <c r="D1654" s="143"/>
      <c r="E1654" s="143"/>
      <c r="F1654" s="143"/>
      <c r="G1654" s="143"/>
      <c r="H1654" s="143"/>
      <c r="I1654" s="143"/>
      <c r="J1654" s="144"/>
    </row>
    <row r="1655" spans="1:10" ht="15" customHeight="1">
      <c r="A1655" s="127"/>
      <c r="B1655" s="143"/>
      <c r="C1655" s="143"/>
      <c r="D1655" s="143"/>
      <c r="E1655" s="143"/>
      <c r="F1655" s="143"/>
      <c r="G1655" s="143"/>
      <c r="H1655" s="143"/>
      <c r="I1655" s="143"/>
      <c r="J1655" s="144"/>
    </row>
    <row r="1656" spans="1:10" ht="15" customHeight="1">
      <c r="A1656" s="146"/>
      <c r="B1656" s="147"/>
      <c r="C1656" s="147"/>
      <c r="D1656" s="147"/>
      <c r="E1656" s="147"/>
      <c r="F1656" s="147"/>
      <c r="G1656" s="147"/>
      <c r="H1656" s="147"/>
      <c r="I1656" s="147"/>
      <c r="J1656" s="148"/>
    </row>
    <row r="1658" spans="1:10" ht="15" customHeight="1">
      <c r="F1658" s="134"/>
      <c r="G1658" s="152" t="s">
        <v>2449</v>
      </c>
      <c r="H1658" s="152"/>
      <c r="I1658" s="152"/>
      <c r="J1658" s="155">
        <v>20000</v>
      </c>
    </row>
    <row r="1659" spans="1:10" ht="15" customHeight="1">
      <c r="F1659" s="134"/>
      <c r="G1659" s="132" t="s">
        <v>2463</v>
      </c>
      <c r="J1659" s="139">
        <v>0</v>
      </c>
    </row>
    <row r="1660" spans="1:10" ht="15" customHeight="1">
      <c r="F1660" s="134"/>
      <c r="G1660" s="132" t="s">
        <v>2450</v>
      </c>
      <c r="J1660" s="140">
        <v>0</v>
      </c>
    </row>
    <row r="1662" spans="1:10" ht="15" customHeight="1">
      <c r="E1662" s="1" t="s">
        <v>2451</v>
      </c>
      <c r="F1662" s="1" t="s">
        <v>2452</v>
      </c>
      <c r="G1662" s="132" t="s">
        <v>2453</v>
      </c>
      <c r="J1662" s="1" t="s">
        <v>2454</v>
      </c>
    </row>
    <row r="1663" spans="1:10" ht="15" customHeight="1">
      <c r="C1663" s="132" t="s">
        <v>2461</v>
      </c>
      <c r="E1663" s="150"/>
      <c r="F1663" s="150"/>
      <c r="G1663" s="138"/>
      <c r="H1663" s="141"/>
      <c r="J1663" s="139"/>
    </row>
    <row r="1664" spans="1:10" ht="15" customHeight="1">
      <c r="C1664" s="132" t="s">
        <v>2461</v>
      </c>
      <c r="E1664" s="150"/>
      <c r="F1664" s="150"/>
      <c r="G1664" s="138"/>
      <c r="H1664" s="141"/>
      <c r="J1664" s="139"/>
    </row>
    <row r="1665" spans="3:10" ht="15" customHeight="1">
      <c r="C1665" s="132" t="s">
        <v>2461</v>
      </c>
      <c r="E1665" s="150"/>
      <c r="F1665" s="150"/>
      <c r="G1665" s="138"/>
      <c r="H1665" s="141"/>
      <c r="J1665" s="139"/>
    </row>
    <row r="1666" spans="3:10" ht="15" customHeight="1">
      <c r="C1666" s="132" t="s">
        <v>2461</v>
      </c>
      <c r="E1666" s="150"/>
      <c r="F1666" s="150"/>
      <c r="G1666" s="138"/>
      <c r="H1666" s="141"/>
      <c r="J1666" s="139"/>
    </row>
    <row r="1667" spans="3:10" ht="15" customHeight="1">
      <c r="C1667" s="132" t="s">
        <v>2461</v>
      </c>
      <c r="E1667" s="150"/>
      <c r="F1667" s="150"/>
      <c r="G1667" s="138"/>
      <c r="H1667" s="141"/>
      <c r="J1667" s="139"/>
    </row>
    <row r="1668" spans="3:10" ht="15" customHeight="1">
      <c r="C1668" s="132" t="s">
        <v>2461</v>
      </c>
      <c r="E1668" s="150"/>
      <c r="F1668" s="150"/>
      <c r="G1668" s="138"/>
      <c r="H1668" s="141"/>
      <c r="J1668" s="139"/>
    </row>
    <row r="1669" spans="3:10" ht="15" customHeight="1">
      <c r="C1669" s="132" t="s">
        <v>2461</v>
      </c>
      <c r="E1669" s="150"/>
      <c r="F1669" s="150"/>
      <c r="G1669" s="138"/>
      <c r="H1669" s="141"/>
      <c r="J1669" s="139"/>
    </row>
    <row r="1670" spans="3:10" ht="15" customHeight="1">
      <c r="C1670" s="132" t="s">
        <v>2461</v>
      </c>
      <c r="E1670" s="150"/>
      <c r="F1670" s="150"/>
      <c r="G1670" s="138"/>
      <c r="H1670" s="141"/>
      <c r="J1670" s="139"/>
    </row>
    <row r="1671" spans="3:10" ht="15" customHeight="1">
      <c r="C1671" s="132" t="s">
        <v>2461</v>
      </c>
      <c r="E1671" s="150"/>
      <c r="F1671" s="150"/>
      <c r="G1671" s="138"/>
      <c r="H1671" s="141"/>
      <c r="J1671" s="139"/>
    </row>
    <row r="1672" spans="3:10" ht="15" customHeight="1">
      <c r="C1672" s="132" t="s">
        <v>2461</v>
      </c>
      <c r="E1672" s="150"/>
      <c r="F1672" s="150"/>
      <c r="G1672" s="138"/>
      <c r="H1672" s="141"/>
      <c r="J1672" s="139"/>
    </row>
    <row r="1673" spans="3:10" ht="15" customHeight="1">
      <c r="C1673" s="132" t="s">
        <v>2461</v>
      </c>
      <c r="E1673" s="150"/>
      <c r="F1673" s="150"/>
      <c r="G1673" s="138">
        <v>5481</v>
      </c>
      <c r="H1673" s="141"/>
      <c r="J1673" s="139">
        <v>20000</v>
      </c>
    </row>
    <row r="1674" spans="3:10" ht="15" customHeight="1">
      <c r="C1674" s="132" t="s">
        <v>2461</v>
      </c>
      <c r="E1674" s="150"/>
      <c r="F1674" s="150"/>
      <c r="G1674" s="138"/>
      <c r="H1674" s="141"/>
      <c r="I1674" s="131" t="s">
        <v>2462</v>
      </c>
      <c r="J1674" s="139">
        <v>0</v>
      </c>
    </row>
    <row r="1675" spans="3:10" ht="15" customHeight="1">
      <c r="E1675" s="154"/>
      <c r="F1675" s="154"/>
      <c r="G1675" s="154"/>
      <c r="H1675" s="154"/>
      <c r="I1675" s="154"/>
      <c r="J1675" s="154"/>
    </row>
    <row r="1676" spans="3:10" ht="15" customHeight="1">
      <c r="F1676" s="134"/>
      <c r="G1676" s="152" t="s">
        <v>2466</v>
      </c>
      <c r="H1676" s="152"/>
      <c r="I1676" s="152"/>
      <c r="J1676" s="153">
        <f>SUM(J1663:J1674)</f>
        <v>20000</v>
      </c>
    </row>
    <row r="1677" spans="3:10" ht="15" customHeight="1">
      <c r="F1677" s="134"/>
      <c r="G1677" s="152"/>
      <c r="H1677" s="152"/>
      <c r="I1677" s="152"/>
      <c r="J1677" s="157"/>
    </row>
    <row r="1678" spans="3:10" ht="15" customHeight="1">
      <c r="F1678" s="134"/>
      <c r="G1678" s="142" t="s">
        <v>2458</v>
      </c>
      <c r="H1678" s="142"/>
      <c r="I1678" s="142"/>
      <c r="J1678" s="156">
        <f>+J1676-J1658+J1660</f>
        <v>0</v>
      </c>
    </row>
    <row r="1683" spans="1:10" ht="15" customHeight="1">
      <c r="F1683" s="1"/>
    </row>
    <row r="1684" spans="1:10" ht="15" customHeight="1">
      <c r="F1684" s="1"/>
    </row>
    <row r="1685" spans="1:10" ht="15" customHeight="1">
      <c r="A1685" s="134"/>
    </row>
    <row r="1686" spans="1:10" ht="15" customHeight="1">
      <c r="A1686" s="134"/>
    </row>
    <row r="1687" spans="1:10" ht="15" customHeight="1">
      <c r="A1687" s="133"/>
    </row>
    <row r="1688" spans="1:10" ht="15" customHeight="1">
      <c r="A1688" s="133"/>
    </row>
    <row r="1689" spans="1:10" ht="15" customHeight="1">
      <c r="F1689" s="151" t="s">
        <v>2580</v>
      </c>
    </row>
    <row r="1690" spans="1:10" ht="15" customHeight="1">
      <c r="A1690" s="133"/>
    </row>
    <row r="1691" spans="1:10" ht="15" customHeight="1">
      <c r="A1691" s="133"/>
      <c r="F1691" s="151" t="s">
        <v>2447</v>
      </c>
    </row>
    <row r="1692" spans="1:10" ht="15" customHeight="1">
      <c r="A1692" s="133"/>
    </row>
    <row r="1693" spans="1:10" ht="15" customHeight="1">
      <c r="A1693" s="142"/>
      <c r="B1693" s="142"/>
      <c r="C1693" s="142"/>
      <c r="D1693" s="142"/>
      <c r="E1693" s="142"/>
      <c r="F1693" s="142"/>
      <c r="G1693" s="142"/>
      <c r="J1693" s="142"/>
    </row>
    <row r="1695" spans="1:10" ht="15" customHeight="1">
      <c r="A1695" s="132" t="s">
        <v>2448</v>
      </c>
      <c r="C1695" s="135" t="s">
        <v>2769</v>
      </c>
      <c r="D1695" s="136"/>
      <c r="E1695" s="137"/>
      <c r="G1695" s="149" t="s">
        <v>2465</v>
      </c>
      <c r="H1695" s="135" t="s">
        <v>2777</v>
      </c>
      <c r="I1695" s="136"/>
      <c r="J1695" s="137"/>
    </row>
    <row r="1697" spans="1:10" ht="15" customHeight="1">
      <c r="A1697" s="134" t="s">
        <v>2456</v>
      </c>
      <c r="C1697" s="135" t="s">
        <v>2668</v>
      </c>
      <c r="D1697" s="136"/>
      <c r="E1697" s="136"/>
      <c r="F1697" s="137"/>
      <c r="I1697" s="149" t="s">
        <v>2464</v>
      </c>
      <c r="J1697" s="150">
        <v>1</v>
      </c>
    </row>
    <row r="1698" spans="1:10" ht="15" customHeight="1">
      <c r="D1698" s="134"/>
    </row>
    <row r="1699" spans="1:10" ht="15" customHeight="1">
      <c r="A1699" s="132" t="s">
        <v>2459</v>
      </c>
      <c r="D1699" s="135" t="s">
        <v>2778</v>
      </c>
      <c r="E1699" s="136"/>
      <c r="F1699" s="136"/>
      <c r="G1699" s="136"/>
      <c r="H1699" s="136"/>
      <c r="I1699" s="136"/>
      <c r="J1699" s="137"/>
    </row>
    <row r="1701" spans="1:10" ht="15" customHeight="1">
      <c r="A1701" s="134" t="s">
        <v>2460</v>
      </c>
    </row>
    <row r="1702" spans="1:10" ht="15" customHeight="1">
      <c r="A1702" s="134"/>
    </row>
    <row r="1703" spans="1:10" ht="15" customHeight="1">
      <c r="A1703" s="130" t="s">
        <v>2779</v>
      </c>
      <c r="B1703" s="129"/>
      <c r="C1703" s="129"/>
      <c r="D1703" s="129"/>
      <c r="E1703" s="129"/>
      <c r="F1703" s="129"/>
      <c r="G1703" s="129"/>
      <c r="H1703" s="129"/>
      <c r="I1703" s="129"/>
      <c r="J1703" s="128"/>
    </row>
    <row r="1704" spans="1:10" ht="15" customHeight="1">
      <c r="A1704" s="127"/>
      <c r="B1704" s="143"/>
      <c r="C1704" s="143"/>
      <c r="D1704" s="143"/>
      <c r="E1704" s="143"/>
      <c r="F1704" s="143"/>
      <c r="G1704" s="143"/>
      <c r="H1704" s="143"/>
      <c r="I1704" s="143"/>
      <c r="J1704" s="144"/>
    </row>
    <row r="1705" spans="1:10" ht="15" customHeight="1">
      <c r="A1705" s="127"/>
      <c r="B1705" s="143"/>
      <c r="C1705" s="143"/>
      <c r="D1705" s="143"/>
      <c r="E1705" s="143"/>
      <c r="F1705" s="143"/>
      <c r="G1705" s="143"/>
      <c r="H1705" s="143"/>
      <c r="I1705" s="143"/>
      <c r="J1705" s="144"/>
    </row>
    <row r="1706" spans="1:10" ht="15" customHeight="1">
      <c r="A1706" s="127"/>
      <c r="B1706" s="143"/>
      <c r="C1706" s="143"/>
      <c r="D1706" s="143"/>
      <c r="E1706" s="143"/>
      <c r="F1706" s="143"/>
      <c r="G1706" s="143"/>
      <c r="H1706" s="143"/>
      <c r="I1706" s="143"/>
      <c r="J1706" s="144"/>
    </row>
    <row r="1707" spans="1:10" ht="15" customHeight="1">
      <c r="A1707" s="127"/>
      <c r="B1707" s="143"/>
      <c r="C1707" s="143"/>
      <c r="D1707" s="143"/>
      <c r="E1707" s="143"/>
      <c r="F1707" s="143"/>
      <c r="G1707" s="143"/>
      <c r="H1707" s="143"/>
      <c r="I1707" s="143"/>
      <c r="J1707" s="144"/>
    </row>
    <row r="1708" spans="1:10" ht="15" customHeight="1">
      <c r="A1708" s="127"/>
      <c r="B1708" s="143"/>
      <c r="C1708" s="143"/>
      <c r="D1708" s="143"/>
      <c r="E1708" s="143"/>
      <c r="F1708" s="143"/>
      <c r="G1708" s="143"/>
      <c r="H1708" s="143"/>
      <c r="I1708" s="143"/>
      <c r="J1708" s="144"/>
    </row>
    <row r="1709" spans="1:10" ht="15" customHeight="1">
      <c r="A1709" s="127"/>
      <c r="B1709" s="143"/>
      <c r="C1709" s="143"/>
      <c r="D1709" s="143"/>
      <c r="E1709" s="143"/>
      <c r="F1709" s="143"/>
      <c r="G1709" s="143"/>
      <c r="H1709" s="143"/>
      <c r="I1709" s="143"/>
      <c r="J1709" s="144"/>
    </row>
    <row r="1710" spans="1:10" ht="15" customHeight="1">
      <c r="A1710" s="127"/>
      <c r="B1710" s="143"/>
      <c r="C1710" s="143"/>
      <c r="D1710" s="143"/>
      <c r="E1710" s="143"/>
      <c r="F1710" s="143"/>
      <c r="G1710" s="143"/>
      <c r="H1710" s="143"/>
      <c r="I1710" s="143"/>
      <c r="J1710" s="144"/>
    </row>
    <row r="1711" spans="1:10" ht="15" customHeight="1">
      <c r="A1711" s="145"/>
      <c r="B1711" s="143"/>
      <c r="C1711" s="143"/>
      <c r="D1711" s="143"/>
      <c r="E1711" s="143"/>
      <c r="F1711" s="143"/>
      <c r="G1711" s="143"/>
      <c r="H1711" s="143"/>
      <c r="I1711" s="143"/>
      <c r="J1711" s="144"/>
    </row>
    <row r="1712" spans="1:10" ht="15" customHeight="1">
      <c r="A1712" s="127"/>
      <c r="B1712" s="143"/>
      <c r="C1712" s="143"/>
      <c r="D1712" s="143"/>
      <c r="E1712" s="143"/>
      <c r="F1712" s="143"/>
      <c r="G1712" s="143"/>
      <c r="H1712" s="143"/>
      <c r="I1712" s="143"/>
      <c r="J1712" s="144"/>
    </row>
    <row r="1713" spans="1:10" ht="15" customHeight="1">
      <c r="A1713" s="146"/>
      <c r="B1713" s="147"/>
      <c r="C1713" s="147"/>
      <c r="D1713" s="147"/>
      <c r="E1713" s="147"/>
      <c r="F1713" s="147"/>
      <c r="G1713" s="147"/>
      <c r="H1713" s="147"/>
      <c r="I1713" s="147"/>
      <c r="J1713" s="148"/>
    </row>
    <row r="1715" spans="1:10" ht="15" customHeight="1">
      <c r="F1715" s="134"/>
      <c r="G1715" s="152" t="s">
        <v>2449</v>
      </c>
      <c r="H1715" s="152"/>
      <c r="I1715" s="152"/>
      <c r="J1715" s="155">
        <v>20000</v>
      </c>
    </row>
    <row r="1716" spans="1:10" ht="15" customHeight="1">
      <c r="F1716" s="134"/>
      <c r="G1716" s="132" t="s">
        <v>2463</v>
      </c>
      <c r="J1716" s="139">
        <v>0</v>
      </c>
    </row>
    <row r="1717" spans="1:10" ht="15" customHeight="1">
      <c r="F1717" s="134"/>
      <c r="G1717" s="132" t="s">
        <v>2450</v>
      </c>
      <c r="J1717" s="140">
        <v>0</v>
      </c>
    </row>
    <row r="1719" spans="1:10" ht="15" customHeight="1">
      <c r="E1719" s="1" t="s">
        <v>2451</v>
      </c>
      <c r="F1719" s="1" t="s">
        <v>2452</v>
      </c>
      <c r="G1719" s="132" t="s">
        <v>2453</v>
      </c>
      <c r="J1719" s="1" t="s">
        <v>2454</v>
      </c>
    </row>
    <row r="1720" spans="1:10" ht="15" customHeight="1">
      <c r="C1720" s="132" t="s">
        <v>2461</v>
      </c>
      <c r="E1720" s="150"/>
      <c r="F1720" s="150"/>
      <c r="G1720" s="138"/>
      <c r="H1720" s="141"/>
      <c r="J1720" s="139"/>
    </row>
    <row r="1721" spans="1:10" ht="15" customHeight="1">
      <c r="C1721" s="132" t="s">
        <v>2461</v>
      </c>
      <c r="E1721" s="150"/>
      <c r="F1721" s="150"/>
      <c r="G1721" s="138"/>
      <c r="H1721" s="141"/>
      <c r="J1721" s="139"/>
    </row>
    <row r="1722" spans="1:10" ht="15" customHeight="1">
      <c r="C1722" s="132" t="s">
        <v>2461</v>
      </c>
      <c r="E1722" s="150"/>
      <c r="F1722" s="150"/>
      <c r="G1722" s="138"/>
      <c r="H1722" s="141"/>
      <c r="J1722" s="139"/>
    </row>
    <row r="1723" spans="1:10" ht="15" customHeight="1">
      <c r="C1723" s="132" t="s">
        <v>2461</v>
      </c>
      <c r="E1723" s="150"/>
      <c r="F1723" s="150"/>
      <c r="G1723" s="138"/>
      <c r="H1723" s="141"/>
      <c r="J1723" s="139"/>
    </row>
    <row r="1724" spans="1:10" ht="15" customHeight="1">
      <c r="C1724" s="132" t="s">
        <v>2461</v>
      </c>
      <c r="E1724" s="150"/>
      <c r="F1724" s="150"/>
      <c r="G1724" s="138"/>
      <c r="H1724" s="141"/>
      <c r="J1724" s="139"/>
    </row>
    <row r="1725" spans="1:10" ht="15" customHeight="1">
      <c r="C1725" s="132" t="s">
        <v>2461</v>
      </c>
      <c r="E1725" s="150"/>
      <c r="F1725" s="150"/>
      <c r="G1725" s="138"/>
      <c r="H1725" s="141"/>
      <c r="J1725" s="139"/>
    </row>
    <row r="1726" spans="1:10" ht="15" customHeight="1">
      <c r="C1726" s="132" t="s">
        <v>2461</v>
      </c>
      <c r="E1726" s="150"/>
      <c r="F1726" s="150"/>
      <c r="G1726" s="138"/>
      <c r="H1726" s="141"/>
      <c r="J1726" s="139"/>
    </row>
    <row r="1727" spans="1:10" ht="15" customHeight="1">
      <c r="C1727" s="132" t="s">
        <v>2461</v>
      </c>
      <c r="E1727" s="150"/>
      <c r="F1727" s="150"/>
      <c r="G1727" s="138"/>
      <c r="H1727" s="141"/>
      <c r="J1727" s="139"/>
    </row>
    <row r="1728" spans="1:10" ht="15" customHeight="1">
      <c r="C1728" s="132" t="s">
        <v>2461</v>
      </c>
      <c r="E1728" s="150"/>
      <c r="F1728" s="150"/>
      <c r="G1728" s="138"/>
      <c r="H1728" s="141"/>
      <c r="J1728" s="139"/>
    </row>
    <row r="1729" spans="3:10" ht="15" customHeight="1">
      <c r="C1729" s="132" t="s">
        <v>2461</v>
      </c>
      <c r="E1729" s="150"/>
      <c r="F1729" s="150"/>
      <c r="G1729" s="138"/>
      <c r="H1729" s="141"/>
      <c r="J1729" s="139"/>
    </row>
    <row r="1730" spans="3:10" ht="15" customHeight="1">
      <c r="C1730" s="132" t="s">
        <v>2461</v>
      </c>
      <c r="E1730" s="150"/>
      <c r="F1730" s="150"/>
      <c r="G1730" s="138">
        <v>5483</v>
      </c>
      <c r="H1730" s="141"/>
      <c r="J1730" s="139">
        <v>20000</v>
      </c>
    </row>
    <row r="1731" spans="3:10" ht="15" customHeight="1">
      <c r="C1731" s="132" t="s">
        <v>2461</v>
      </c>
      <c r="E1731" s="150"/>
      <c r="F1731" s="150"/>
      <c r="G1731" s="138"/>
      <c r="H1731" s="141"/>
      <c r="I1731" s="131" t="s">
        <v>2462</v>
      </c>
      <c r="J1731" s="139">
        <v>0</v>
      </c>
    </row>
    <row r="1732" spans="3:10" ht="15" customHeight="1">
      <c r="E1732" s="154"/>
      <c r="F1732" s="154"/>
      <c r="G1732" s="154"/>
      <c r="H1732" s="154"/>
      <c r="I1732" s="154"/>
      <c r="J1732" s="154"/>
    </row>
    <row r="1733" spans="3:10" ht="15" customHeight="1">
      <c r="F1733" s="134"/>
      <c r="G1733" s="152" t="s">
        <v>2466</v>
      </c>
      <c r="H1733" s="152"/>
      <c r="I1733" s="152"/>
      <c r="J1733" s="153">
        <f>SUM(J1720:J1731)</f>
        <v>20000</v>
      </c>
    </row>
    <row r="1734" spans="3:10" ht="15" customHeight="1">
      <c r="F1734" s="134"/>
      <c r="G1734" s="152"/>
      <c r="H1734" s="152"/>
      <c r="I1734" s="152"/>
      <c r="J1734" s="157"/>
    </row>
    <row r="1735" spans="3:10" ht="15" customHeight="1">
      <c r="F1735" s="134"/>
      <c r="G1735" s="142" t="s">
        <v>2458</v>
      </c>
      <c r="H1735" s="142"/>
      <c r="I1735" s="142"/>
      <c r="J1735" s="156">
        <f>+J1733-J1715+J1717</f>
        <v>0</v>
      </c>
    </row>
    <row r="1749" spans="1:10" ht="15" customHeight="1">
      <c r="F1749" s="1"/>
    </row>
    <row r="1750" spans="1:10" ht="15" customHeight="1">
      <c r="F1750" s="1"/>
    </row>
    <row r="1751" spans="1:10" ht="15" customHeight="1">
      <c r="A1751" s="134"/>
    </row>
    <row r="1752" spans="1:10" ht="15" customHeight="1">
      <c r="A1752" s="134"/>
    </row>
    <row r="1753" spans="1:10" ht="15" customHeight="1">
      <c r="A1753" s="133"/>
    </row>
    <row r="1754" spans="1:10" ht="15" customHeight="1">
      <c r="A1754" s="133"/>
    </row>
    <row r="1755" spans="1:10" ht="15" customHeight="1">
      <c r="F1755" s="151" t="s">
        <v>2580</v>
      </c>
    </row>
    <row r="1756" spans="1:10" ht="15" customHeight="1">
      <c r="A1756" s="133"/>
    </row>
    <row r="1757" spans="1:10" ht="15" customHeight="1">
      <c r="A1757" s="133"/>
      <c r="F1757" s="151" t="s">
        <v>2447</v>
      </c>
    </row>
    <row r="1758" spans="1:10" ht="15" customHeight="1">
      <c r="A1758" s="133"/>
    </row>
    <row r="1759" spans="1:10" ht="15" customHeight="1">
      <c r="A1759" s="142"/>
      <c r="B1759" s="142"/>
      <c r="C1759" s="142"/>
      <c r="D1759" s="142"/>
      <c r="E1759" s="142"/>
      <c r="F1759" s="142"/>
      <c r="G1759" s="142"/>
      <c r="J1759" s="142"/>
    </row>
    <row r="1761" spans="1:10" ht="15" customHeight="1">
      <c r="A1761" s="132" t="s">
        <v>2448</v>
      </c>
      <c r="C1761" s="135" t="s">
        <v>2769</v>
      </c>
      <c r="D1761" s="136"/>
      <c r="E1761" s="137"/>
      <c r="G1761" s="149" t="s">
        <v>2465</v>
      </c>
      <c r="H1761" s="135" t="s">
        <v>2777</v>
      </c>
      <c r="I1761" s="136"/>
      <c r="J1761" s="137"/>
    </row>
    <row r="1763" spans="1:10" ht="15" customHeight="1">
      <c r="A1763" s="134" t="s">
        <v>2456</v>
      </c>
      <c r="C1763" s="135" t="s">
        <v>2711</v>
      </c>
      <c r="D1763" s="136"/>
      <c r="E1763" s="136"/>
      <c r="F1763" s="137"/>
      <c r="I1763" s="149" t="s">
        <v>2464</v>
      </c>
      <c r="J1763" s="150">
        <v>1</v>
      </c>
    </row>
    <row r="1764" spans="1:10" ht="15" customHeight="1">
      <c r="D1764" s="134"/>
    </row>
    <row r="1765" spans="1:10" ht="15" customHeight="1">
      <c r="A1765" s="132" t="s">
        <v>2459</v>
      </c>
      <c r="D1765" s="135" t="s">
        <v>2780</v>
      </c>
      <c r="E1765" s="136"/>
      <c r="F1765" s="136"/>
      <c r="G1765" s="136"/>
      <c r="H1765" s="136"/>
      <c r="I1765" s="136"/>
      <c r="J1765" s="137"/>
    </row>
    <row r="1767" spans="1:10" ht="15" customHeight="1">
      <c r="A1767" s="134" t="s">
        <v>2460</v>
      </c>
    </row>
    <row r="1768" spans="1:10" ht="15" customHeight="1">
      <c r="A1768" s="134"/>
    </row>
    <row r="1769" spans="1:10" ht="15" customHeight="1">
      <c r="A1769" s="130" t="s">
        <v>2781</v>
      </c>
      <c r="B1769" s="129"/>
      <c r="C1769" s="129"/>
      <c r="D1769" s="129"/>
      <c r="E1769" s="129"/>
      <c r="F1769" s="129"/>
      <c r="G1769" s="129"/>
      <c r="H1769" s="129"/>
      <c r="I1769" s="129"/>
      <c r="J1769" s="128"/>
    </row>
    <row r="1770" spans="1:10" ht="15" customHeight="1">
      <c r="A1770" s="127" t="s">
        <v>2782</v>
      </c>
      <c r="B1770" s="143"/>
      <c r="C1770" s="143"/>
      <c r="D1770" s="143"/>
      <c r="E1770" s="143"/>
      <c r="F1770" s="143"/>
      <c r="G1770" s="143"/>
      <c r="H1770" s="143"/>
      <c r="I1770" s="143"/>
      <c r="J1770" s="144"/>
    </row>
    <row r="1771" spans="1:10" ht="15" customHeight="1">
      <c r="A1771" s="127"/>
      <c r="B1771" s="143"/>
      <c r="C1771" s="143"/>
      <c r="D1771" s="143"/>
      <c r="E1771" s="143"/>
      <c r="F1771" s="143"/>
      <c r="G1771" s="143"/>
      <c r="H1771" s="143"/>
      <c r="I1771" s="143"/>
      <c r="J1771" s="144"/>
    </row>
    <row r="1772" spans="1:10" ht="15" customHeight="1">
      <c r="A1772" s="127"/>
      <c r="B1772" s="143"/>
      <c r="C1772" s="143"/>
      <c r="D1772" s="143"/>
      <c r="E1772" s="143"/>
      <c r="F1772" s="143"/>
      <c r="G1772" s="143"/>
      <c r="H1772" s="143"/>
      <c r="I1772" s="143"/>
      <c r="J1772" s="144"/>
    </row>
    <row r="1773" spans="1:10" ht="15" customHeight="1">
      <c r="A1773" s="127"/>
      <c r="B1773" s="143"/>
      <c r="C1773" s="143"/>
      <c r="D1773" s="143"/>
      <c r="E1773" s="143"/>
      <c r="F1773" s="143"/>
      <c r="G1773" s="143"/>
      <c r="H1773" s="143"/>
      <c r="I1773" s="143"/>
      <c r="J1773" s="144"/>
    </row>
    <row r="1774" spans="1:10" ht="15" customHeight="1">
      <c r="A1774" s="127"/>
      <c r="B1774" s="143"/>
      <c r="C1774" s="143"/>
      <c r="D1774" s="143"/>
      <c r="E1774" s="143"/>
      <c r="F1774" s="143"/>
      <c r="G1774" s="143"/>
      <c r="H1774" s="143"/>
      <c r="I1774" s="143"/>
      <c r="J1774" s="144"/>
    </row>
    <row r="1775" spans="1:10" ht="15" customHeight="1">
      <c r="A1775" s="127"/>
      <c r="B1775" s="143"/>
      <c r="C1775" s="143"/>
      <c r="D1775" s="143"/>
      <c r="E1775" s="143"/>
      <c r="F1775" s="143"/>
      <c r="G1775" s="143"/>
      <c r="H1775" s="143"/>
      <c r="I1775" s="143"/>
      <c r="J1775" s="144"/>
    </row>
    <row r="1776" spans="1:10" ht="15" customHeight="1">
      <c r="A1776" s="127"/>
      <c r="B1776" s="143"/>
      <c r="C1776" s="143"/>
      <c r="D1776" s="143"/>
      <c r="E1776" s="143"/>
      <c r="F1776" s="143"/>
      <c r="G1776" s="143"/>
      <c r="H1776" s="143"/>
      <c r="I1776" s="143"/>
      <c r="J1776" s="144"/>
    </row>
    <row r="1777" spans="1:10" ht="15" customHeight="1">
      <c r="A1777" s="145"/>
      <c r="B1777" s="143"/>
      <c r="C1777" s="143"/>
      <c r="D1777" s="143"/>
      <c r="E1777" s="143"/>
      <c r="F1777" s="143"/>
      <c r="G1777" s="143"/>
      <c r="H1777" s="143"/>
      <c r="I1777" s="143"/>
      <c r="J1777" s="144"/>
    </row>
    <row r="1778" spans="1:10" ht="15" customHeight="1">
      <c r="A1778" s="127"/>
      <c r="B1778" s="143"/>
      <c r="C1778" s="143"/>
      <c r="D1778" s="143"/>
      <c r="E1778" s="143"/>
      <c r="F1778" s="143"/>
      <c r="G1778" s="143"/>
      <c r="H1778" s="143"/>
      <c r="I1778" s="143"/>
      <c r="J1778" s="144"/>
    </row>
    <row r="1779" spans="1:10" ht="15" customHeight="1">
      <c r="A1779" s="146"/>
      <c r="B1779" s="147"/>
      <c r="C1779" s="147"/>
      <c r="D1779" s="147"/>
      <c r="E1779" s="147"/>
      <c r="F1779" s="147"/>
      <c r="G1779" s="147"/>
      <c r="H1779" s="147"/>
      <c r="I1779" s="147"/>
      <c r="J1779" s="148"/>
    </row>
    <row r="1781" spans="1:10" ht="15" customHeight="1">
      <c r="F1781" s="134"/>
      <c r="G1781" s="152" t="s">
        <v>2449</v>
      </c>
      <c r="H1781" s="152"/>
      <c r="I1781" s="152"/>
      <c r="J1781" s="155">
        <v>5000</v>
      </c>
    </row>
    <row r="1782" spans="1:10" ht="15" customHeight="1">
      <c r="F1782" s="134"/>
      <c r="G1782" s="132" t="s">
        <v>2463</v>
      </c>
      <c r="J1782" s="139">
        <v>0</v>
      </c>
    </row>
    <row r="1783" spans="1:10" ht="15" customHeight="1">
      <c r="F1783" s="134"/>
      <c r="G1783" s="132" t="s">
        <v>2450</v>
      </c>
      <c r="J1783" s="140">
        <v>0</v>
      </c>
    </row>
    <row r="1785" spans="1:10" ht="15" customHeight="1">
      <c r="E1785" s="1" t="s">
        <v>2451</v>
      </c>
      <c r="F1785" s="1" t="s">
        <v>2452</v>
      </c>
      <c r="G1785" s="132" t="s">
        <v>2453</v>
      </c>
      <c r="J1785" s="1" t="s">
        <v>2454</v>
      </c>
    </row>
    <row r="1786" spans="1:10" ht="15" customHeight="1">
      <c r="C1786" s="132" t="s">
        <v>2461</v>
      </c>
      <c r="E1786" s="150"/>
      <c r="F1786" s="150"/>
      <c r="G1786" s="138"/>
      <c r="H1786" s="141"/>
      <c r="J1786" s="139"/>
    </row>
    <row r="1787" spans="1:10" ht="15" customHeight="1">
      <c r="C1787" s="132" t="s">
        <v>2461</v>
      </c>
      <c r="E1787" s="150"/>
      <c r="F1787" s="150"/>
      <c r="G1787" s="138"/>
      <c r="H1787" s="141"/>
      <c r="J1787" s="139"/>
    </row>
    <row r="1788" spans="1:10" ht="15" customHeight="1">
      <c r="C1788" s="132" t="s">
        <v>2461</v>
      </c>
      <c r="E1788" s="150"/>
      <c r="F1788" s="150"/>
      <c r="G1788" s="138"/>
      <c r="H1788" s="141"/>
      <c r="J1788" s="139"/>
    </row>
    <row r="1789" spans="1:10" ht="15" customHeight="1">
      <c r="C1789" s="132" t="s">
        <v>2461</v>
      </c>
      <c r="E1789" s="150"/>
      <c r="F1789" s="150"/>
      <c r="G1789" s="138"/>
      <c r="H1789" s="141"/>
      <c r="J1789" s="139"/>
    </row>
    <row r="1790" spans="1:10" ht="15" customHeight="1">
      <c r="C1790" s="132" t="s">
        <v>2461</v>
      </c>
      <c r="E1790" s="150"/>
      <c r="F1790" s="150"/>
      <c r="G1790" s="138"/>
      <c r="H1790" s="141"/>
      <c r="J1790" s="139"/>
    </row>
    <row r="1791" spans="1:10" ht="15" customHeight="1">
      <c r="C1791" s="132" t="s">
        <v>2461</v>
      </c>
      <c r="E1791" s="150"/>
      <c r="F1791" s="150"/>
      <c r="G1791" s="138"/>
      <c r="H1791" s="141"/>
      <c r="J1791" s="139"/>
    </row>
    <row r="1792" spans="1:10" ht="15" customHeight="1">
      <c r="C1792" s="132" t="s">
        <v>2461</v>
      </c>
      <c r="E1792" s="150"/>
      <c r="F1792" s="150"/>
      <c r="G1792" s="138"/>
      <c r="H1792" s="141"/>
      <c r="J1792" s="139"/>
    </row>
    <row r="1793" spans="1:10" ht="15" customHeight="1">
      <c r="C1793" s="132" t="s">
        <v>2461</v>
      </c>
      <c r="E1793" s="150"/>
      <c r="F1793" s="150"/>
      <c r="G1793" s="138"/>
      <c r="H1793" s="141"/>
      <c r="J1793" s="139"/>
    </row>
    <row r="1794" spans="1:10" ht="15" customHeight="1">
      <c r="C1794" s="132" t="s">
        <v>2461</v>
      </c>
      <c r="E1794" s="150"/>
      <c r="F1794" s="150"/>
      <c r="G1794" s="138"/>
      <c r="H1794" s="141"/>
      <c r="J1794" s="139"/>
    </row>
    <row r="1795" spans="1:10" ht="15" customHeight="1">
      <c r="C1795" s="132" t="s">
        <v>2461</v>
      </c>
      <c r="E1795" s="150"/>
      <c r="F1795" s="150"/>
      <c r="G1795" s="138"/>
      <c r="H1795" s="141"/>
      <c r="J1795" s="139"/>
    </row>
    <row r="1796" spans="1:10" ht="15" customHeight="1">
      <c r="C1796" s="132" t="s">
        <v>2461</v>
      </c>
      <c r="E1796" s="150"/>
      <c r="F1796" s="150"/>
      <c r="G1796" s="138">
        <v>5555</v>
      </c>
      <c r="H1796" s="141"/>
      <c r="J1796" s="139">
        <v>5000</v>
      </c>
    </row>
    <row r="1797" spans="1:10" ht="15" customHeight="1">
      <c r="C1797" s="132" t="s">
        <v>2461</v>
      </c>
      <c r="E1797" s="150"/>
      <c r="F1797" s="150"/>
      <c r="G1797" s="138"/>
      <c r="H1797" s="141"/>
      <c r="I1797" s="131" t="s">
        <v>2462</v>
      </c>
      <c r="J1797" s="139">
        <v>0</v>
      </c>
    </row>
    <row r="1798" spans="1:10" ht="15" customHeight="1">
      <c r="E1798" s="154"/>
      <c r="F1798" s="154"/>
      <c r="G1798" s="154"/>
      <c r="H1798" s="154"/>
      <c r="I1798" s="154"/>
      <c r="J1798" s="154"/>
    </row>
    <row r="1799" spans="1:10" ht="15" customHeight="1">
      <c r="F1799" s="134"/>
      <c r="G1799" s="152" t="s">
        <v>2466</v>
      </c>
      <c r="H1799" s="152"/>
      <c r="I1799" s="152"/>
      <c r="J1799" s="153">
        <f>SUM(J1786:J1797)</f>
        <v>5000</v>
      </c>
    </row>
    <row r="1800" spans="1:10" ht="15" customHeight="1">
      <c r="F1800" s="134"/>
      <c r="G1800" s="152"/>
      <c r="H1800" s="152"/>
      <c r="I1800" s="152"/>
      <c r="J1800" s="157"/>
    </row>
    <row r="1801" spans="1:10" ht="15" customHeight="1">
      <c r="F1801" s="134"/>
      <c r="G1801" s="142" t="s">
        <v>2458</v>
      </c>
      <c r="H1801" s="142"/>
      <c r="I1801" s="142"/>
      <c r="J1801" s="156">
        <f>+J1799-J1781+J1783</f>
        <v>0</v>
      </c>
    </row>
    <row r="1805" spans="1:10" ht="15" customHeight="1">
      <c r="F1805" s="1"/>
    </row>
    <row r="1806" spans="1:10" ht="15" customHeight="1">
      <c r="F1806" s="1"/>
    </row>
    <row r="1807" spans="1:10" ht="15" customHeight="1">
      <c r="A1807" s="134"/>
    </row>
    <row r="1808" spans="1:10" ht="15" customHeight="1">
      <c r="A1808" s="134"/>
    </row>
    <row r="1809" spans="1:10" ht="15" customHeight="1">
      <c r="A1809" s="133"/>
    </row>
    <row r="1810" spans="1:10" ht="15" customHeight="1">
      <c r="A1810" s="133"/>
    </row>
    <row r="1811" spans="1:10" ht="15" customHeight="1">
      <c r="F1811" s="151" t="s">
        <v>2580</v>
      </c>
    </row>
    <row r="1812" spans="1:10" ht="15" customHeight="1">
      <c r="A1812" s="133"/>
    </row>
    <row r="1813" spans="1:10" ht="15" customHeight="1">
      <c r="A1813" s="133"/>
      <c r="F1813" s="151" t="s">
        <v>2447</v>
      </c>
    </row>
    <row r="1814" spans="1:10" ht="15" customHeight="1">
      <c r="A1814" s="133"/>
    </row>
    <row r="1815" spans="1:10" ht="15" customHeight="1">
      <c r="A1815" s="142"/>
      <c r="B1815" s="142"/>
      <c r="C1815" s="142"/>
      <c r="D1815" s="142"/>
      <c r="E1815" s="142"/>
      <c r="F1815" s="142"/>
      <c r="G1815" s="142"/>
      <c r="J1815" s="142"/>
    </row>
    <row r="1817" spans="1:10" ht="15" customHeight="1">
      <c r="A1817" s="132" t="s">
        <v>2448</v>
      </c>
      <c r="C1817" s="135" t="s">
        <v>2769</v>
      </c>
      <c r="D1817" s="136"/>
      <c r="E1817" s="137"/>
      <c r="G1817" s="149" t="s">
        <v>2465</v>
      </c>
      <c r="H1817" s="135" t="s">
        <v>2770</v>
      </c>
      <c r="I1817" s="136"/>
      <c r="J1817" s="137"/>
    </row>
    <row r="1819" spans="1:10" ht="15" customHeight="1">
      <c r="A1819" s="134" t="s">
        <v>2456</v>
      </c>
      <c r="C1819" s="135" t="s">
        <v>2758</v>
      </c>
      <c r="D1819" s="136"/>
      <c r="E1819" s="136"/>
      <c r="F1819" s="137"/>
      <c r="I1819" s="149" t="s">
        <v>2464</v>
      </c>
      <c r="J1819" s="150">
        <v>1</v>
      </c>
    </row>
    <row r="1820" spans="1:10" ht="15" customHeight="1">
      <c r="D1820" s="134"/>
    </row>
    <row r="1821" spans="1:10" ht="15" customHeight="1">
      <c r="A1821" s="132" t="s">
        <v>2459</v>
      </c>
      <c r="D1821" s="135" t="s">
        <v>2783</v>
      </c>
      <c r="E1821" s="136"/>
      <c r="F1821" s="136"/>
      <c r="G1821" s="136"/>
      <c r="H1821" s="136"/>
      <c r="I1821" s="136"/>
      <c r="J1821" s="137"/>
    </row>
    <row r="1823" spans="1:10" ht="15" customHeight="1">
      <c r="A1823" s="134" t="s">
        <v>2460</v>
      </c>
    </row>
    <row r="1824" spans="1:10" ht="15" customHeight="1">
      <c r="A1824" s="134"/>
    </row>
    <row r="1825" spans="1:10" ht="15" customHeight="1">
      <c r="A1825" s="130" t="s">
        <v>2784</v>
      </c>
      <c r="B1825" s="129"/>
      <c r="C1825" s="129"/>
      <c r="D1825" s="129"/>
      <c r="E1825" s="129"/>
      <c r="F1825" s="129"/>
      <c r="G1825" s="129"/>
      <c r="H1825" s="129"/>
      <c r="I1825" s="129"/>
      <c r="J1825" s="128"/>
    </row>
    <row r="1826" spans="1:10" ht="15" customHeight="1">
      <c r="A1826" s="127"/>
      <c r="B1826" s="143"/>
      <c r="C1826" s="143"/>
      <c r="D1826" s="143"/>
      <c r="E1826" s="143"/>
      <c r="F1826" s="143"/>
      <c r="G1826" s="143"/>
      <c r="H1826" s="143"/>
      <c r="I1826" s="143"/>
      <c r="J1826" s="144"/>
    </row>
    <row r="1827" spans="1:10" ht="15" customHeight="1">
      <c r="A1827" s="127"/>
      <c r="B1827" s="143"/>
      <c r="C1827" s="143"/>
      <c r="D1827" s="143"/>
      <c r="E1827" s="143"/>
      <c r="F1827" s="143"/>
      <c r="G1827" s="143"/>
      <c r="H1827" s="143"/>
      <c r="I1827" s="143"/>
      <c r="J1827" s="144"/>
    </row>
    <row r="1828" spans="1:10" ht="15" customHeight="1">
      <c r="A1828" s="127"/>
      <c r="B1828" s="143"/>
      <c r="C1828" s="143"/>
      <c r="D1828" s="143"/>
      <c r="E1828" s="143"/>
      <c r="F1828" s="143"/>
      <c r="G1828" s="143"/>
      <c r="H1828" s="143"/>
      <c r="I1828" s="143"/>
      <c r="J1828" s="144"/>
    </row>
    <row r="1829" spans="1:10" ht="15" customHeight="1">
      <c r="A1829" s="127"/>
      <c r="B1829" s="143"/>
      <c r="C1829" s="143"/>
      <c r="D1829" s="143"/>
      <c r="E1829" s="143"/>
      <c r="F1829" s="143"/>
      <c r="G1829" s="143"/>
      <c r="H1829" s="143"/>
      <c r="I1829" s="143"/>
      <c r="J1829" s="144"/>
    </row>
    <row r="1830" spans="1:10" ht="15" customHeight="1">
      <c r="A1830" s="127"/>
      <c r="B1830" s="143"/>
      <c r="C1830" s="143"/>
      <c r="D1830" s="143"/>
      <c r="E1830" s="143"/>
      <c r="F1830" s="143"/>
      <c r="G1830" s="143"/>
      <c r="H1830" s="143"/>
      <c r="I1830" s="143"/>
      <c r="J1830" s="144"/>
    </row>
    <row r="1831" spans="1:10" ht="15" customHeight="1">
      <c r="A1831" s="127"/>
      <c r="B1831" s="143"/>
      <c r="C1831" s="143"/>
      <c r="D1831" s="143"/>
      <c r="E1831" s="143"/>
      <c r="F1831" s="143"/>
      <c r="G1831" s="143"/>
      <c r="H1831" s="143"/>
      <c r="I1831" s="143"/>
      <c r="J1831" s="144"/>
    </row>
    <row r="1832" spans="1:10" ht="15" customHeight="1">
      <c r="A1832" s="127"/>
      <c r="B1832" s="143"/>
      <c r="C1832" s="143"/>
      <c r="D1832" s="143"/>
      <c r="E1832" s="143"/>
      <c r="F1832" s="143"/>
      <c r="G1832" s="143"/>
      <c r="H1832" s="143"/>
      <c r="I1832" s="143"/>
      <c r="J1832" s="144"/>
    </row>
    <row r="1833" spans="1:10" ht="15" customHeight="1">
      <c r="A1833" s="145"/>
      <c r="B1833" s="143"/>
      <c r="C1833" s="143"/>
      <c r="D1833" s="143"/>
      <c r="E1833" s="143"/>
      <c r="F1833" s="143"/>
      <c r="G1833" s="143"/>
      <c r="H1833" s="143"/>
      <c r="I1833" s="143"/>
      <c r="J1833" s="144"/>
    </row>
    <row r="1834" spans="1:10" ht="15" customHeight="1">
      <c r="A1834" s="127"/>
      <c r="B1834" s="143"/>
      <c r="C1834" s="143"/>
      <c r="D1834" s="143"/>
      <c r="E1834" s="143"/>
      <c r="F1834" s="143"/>
      <c r="G1834" s="143"/>
      <c r="H1834" s="143"/>
      <c r="I1834" s="143"/>
      <c r="J1834" s="144"/>
    </row>
    <row r="1835" spans="1:10" ht="15" customHeight="1">
      <c r="A1835" s="146"/>
      <c r="B1835" s="147"/>
      <c r="C1835" s="147"/>
      <c r="D1835" s="147"/>
      <c r="E1835" s="147"/>
      <c r="F1835" s="147"/>
      <c r="G1835" s="147"/>
      <c r="H1835" s="147"/>
      <c r="I1835" s="147"/>
      <c r="J1835" s="148"/>
    </row>
    <row r="1837" spans="1:10" ht="15" customHeight="1">
      <c r="F1837" s="134"/>
      <c r="G1837" s="152" t="s">
        <v>2449</v>
      </c>
      <c r="H1837" s="152"/>
      <c r="I1837" s="152"/>
      <c r="J1837" s="155">
        <v>7300</v>
      </c>
    </row>
    <row r="1838" spans="1:10" ht="15" customHeight="1">
      <c r="F1838" s="134"/>
      <c r="G1838" s="132" t="s">
        <v>2463</v>
      </c>
      <c r="J1838" s="139">
        <v>0</v>
      </c>
    </row>
    <row r="1839" spans="1:10" ht="15" customHeight="1">
      <c r="F1839" s="134"/>
      <c r="G1839" s="132" t="s">
        <v>2450</v>
      </c>
      <c r="J1839" s="140">
        <v>0</v>
      </c>
    </row>
    <row r="1841" spans="3:10" ht="15" customHeight="1">
      <c r="E1841" s="1" t="s">
        <v>2451</v>
      </c>
      <c r="F1841" s="1" t="s">
        <v>2452</v>
      </c>
      <c r="G1841" s="132" t="s">
        <v>2453</v>
      </c>
      <c r="J1841" s="1" t="s">
        <v>2454</v>
      </c>
    </row>
    <row r="1842" spans="3:10" ht="15" customHeight="1">
      <c r="C1842" s="132" t="s">
        <v>2461</v>
      </c>
      <c r="E1842" s="150"/>
      <c r="F1842" s="150"/>
      <c r="G1842" s="138"/>
      <c r="H1842" s="141"/>
      <c r="J1842" s="139"/>
    </row>
    <row r="1843" spans="3:10" ht="15" customHeight="1">
      <c r="C1843" s="132" t="s">
        <v>2461</v>
      </c>
      <c r="E1843" s="150"/>
      <c r="F1843" s="150"/>
      <c r="G1843" s="138"/>
      <c r="H1843" s="141"/>
      <c r="J1843" s="139"/>
    </row>
    <row r="1844" spans="3:10" ht="15" customHeight="1">
      <c r="C1844" s="132" t="s">
        <v>2461</v>
      </c>
      <c r="E1844" s="150"/>
      <c r="F1844" s="150"/>
      <c r="G1844" s="138"/>
      <c r="H1844" s="141"/>
      <c r="J1844" s="139"/>
    </row>
    <row r="1845" spans="3:10" ht="15" customHeight="1">
      <c r="C1845" s="132" t="s">
        <v>2461</v>
      </c>
      <c r="E1845" s="150"/>
      <c r="F1845" s="150"/>
      <c r="G1845" s="138"/>
      <c r="H1845" s="141"/>
      <c r="J1845" s="139"/>
    </row>
    <row r="1846" spans="3:10" ht="15" customHeight="1">
      <c r="C1846" s="132" t="s">
        <v>2461</v>
      </c>
      <c r="E1846" s="150"/>
      <c r="F1846" s="150"/>
      <c r="G1846" s="138"/>
      <c r="H1846" s="141"/>
      <c r="J1846" s="139"/>
    </row>
    <row r="1847" spans="3:10" ht="15" customHeight="1">
      <c r="C1847" s="132" t="s">
        <v>2461</v>
      </c>
      <c r="E1847" s="150"/>
      <c r="F1847" s="150"/>
      <c r="G1847" s="138"/>
      <c r="H1847" s="141"/>
      <c r="J1847" s="139"/>
    </row>
    <row r="1848" spans="3:10" ht="15" customHeight="1">
      <c r="C1848" s="132" t="s">
        <v>2461</v>
      </c>
      <c r="E1848" s="150"/>
      <c r="F1848" s="150"/>
      <c r="G1848" s="138"/>
      <c r="H1848" s="141"/>
      <c r="J1848" s="139"/>
    </row>
    <row r="1849" spans="3:10" ht="15" customHeight="1">
      <c r="C1849" s="132" t="s">
        <v>2461</v>
      </c>
      <c r="E1849" s="150"/>
      <c r="F1849" s="150"/>
      <c r="G1849" s="138"/>
      <c r="H1849" s="141"/>
      <c r="J1849" s="139"/>
    </row>
    <row r="1850" spans="3:10" ht="15" customHeight="1">
      <c r="C1850" s="132" t="s">
        <v>2461</v>
      </c>
      <c r="E1850" s="150"/>
      <c r="F1850" s="150"/>
      <c r="G1850" s="138"/>
      <c r="H1850" s="141"/>
      <c r="J1850" s="139"/>
    </row>
    <row r="1851" spans="3:10" ht="15" customHeight="1">
      <c r="C1851" s="132" t="s">
        <v>2461</v>
      </c>
      <c r="E1851" s="150"/>
      <c r="F1851" s="150"/>
      <c r="G1851" s="138"/>
      <c r="H1851" s="141"/>
      <c r="J1851" s="139"/>
    </row>
    <row r="1852" spans="3:10" ht="15" customHeight="1">
      <c r="C1852" s="132" t="s">
        <v>2461</v>
      </c>
      <c r="E1852" s="150"/>
      <c r="F1852" s="150"/>
      <c r="G1852" s="138">
        <v>5555</v>
      </c>
      <c r="H1852" s="141"/>
      <c r="J1852" s="139">
        <v>7300</v>
      </c>
    </row>
    <row r="1853" spans="3:10" ht="15" customHeight="1">
      <c r="C1853" s="132" t="s">
        <v>2461</v>
      </c>
      <c r="E1853" s="150"/>
      <c r="F1853" s="150"/>
      <c r="G1853" s="138"/>
      <c r="H1853" s="141"/>
      <c r="I1853" s="131" t="s">
        <v>2462</v>
      </c>
      <c r="J1853" s="139"/>
    </row>
    <row r="1854" spans="3:10" ht="15" customHeight="1">
      <c r="E1854" s="154"/>
      <c r="F1854" s="154"/>
      <c r="G1854" s="154"/>
      <c r="H1854" s="154"/>
      <c r="I1854" s="154"/>
      <c r="J1854" s="154"/>
    </row>
    <row r="1855" spans="3:10" ht="15" customHeight="1">
      <c r="F1855" s="134"/>
      <c r="G1855" s="152" t="s">
        <v>2466</v>
      </c>
      <c r="H1855" s="152"/>
      <c r="I1855" s="152"/>
      <c r="J1855" s="153">
        <f>SUM(J1842:J1853)</f>
        <v>7300</v>
      </c>
    </row>
    <row r="1856" spans="3:10" ht="15" customHeight="1">
      <c r="F1856" s="134"/>
      <c r="G1856" s="152"/>
      <c r="H1856" s="152"/>
      <c r="I1856" s="152"/>
      <c r="J1856" s="157"/>
    </row>
    <row r="1857" spans="1:10" ht="15" customHeight="1">
      <c r="F1857" s="134"/>
      <c r="G1857" s="142" t="s">
        <v>2458</v>
      </c>
      <c r="H1857" s="142"/>
      <c r="I1857" s="142"/>
      <c r="J1857" s="156">
        <f>+J1855-J1837+J1839</f>
        <v>0</v>
      </c>
    </row>
    <row r="1862" spans="1:10" ht="15" customHeight="1">
      <c r="F1862" s="1"/>
    </row>
    <row r="1863" spans="1:10" ht="15" customHeight="1">
      <c r="F1863" s="1"/>
    </row>
    <row r="1864" spans="1:10" ht="15" customHeight="1">
      <c r="A1864" s="134"/>
    </row>
    <row r="1865" spans="1:10" ht="15" customHeight="1">
      <c r="A1865" s="134"/>
    </row>
    <row r="1866" spans="1:10" ht="15" customHeight="1">
      <c r="A1866" s="133"/>
    </row>
    <row r="1867" spans="1:10" ht="15" customHeight="1">
      <c r="A1867" s="133"/>
    </row>
    <row r="1868" spans="1:10" ht="15" customHeight="1">
      <c r="F1868" s="151" t="s">
        <v>2580</v>
      </c>
    </row>
    <row r="1869" spans="1:10" ht="15" customHeight="1">
      <c r="A1869" s="133"/>
    </row>
    <row r="1870" spans="1:10" ht="15" customHeight="1">
      <c r="A1870" s="133"/>
      <c r="F1870" s="151" t="s">
        <v>2447</v>
      </c>
    </row>
    <row r="1871" spans="1:10" ht="15" customHeight="1">
      <c r="A1871" s="133"/>
    </row>
    <row r="1872" spans="1:10" ht="15" customHeight="1">
      <c r="A1872" s="142"/>
      <c r="B1872" s="142"/>
      <c r="C1872" s="142"/>
      <c r="D1872" s="142"/>
      <c r="E1872" s="142"/>
      <c r="F1872" s="142"/>
      <c r="G1872" s="142"/>
      <c r="J1872" s="142"/>
    </row>
    <row r="1874" spans="1:10" ht="15" customHeight="1">
      <c r="A1874" s="132" t="s">
        <v>2448</v>
      </c>
      <c r="C1874" s="135" t="s">
        <v>2769</v>
      </c>
      <c r="D1874" s="136"/>
      <c r="E1874" s="137"/>
      <c r="G1874" s="149" t="s">
        <v>2465</v>
      </c>
      <c r="H1874" s="135" t="s">
        <v>2770</v>
      </c>
      <c r="I1874" s="136"/>
      <c r="J1874" s="137"/>
    </row>
    <row r="1876" spans="1:10" ht="15" customHeight="1">
      <c r="A1876" s="134" t="s">
        <v>2456</v>
      </c>
      <c r="C1876" s="135" t="s">
        <v>2711</v>
      </c>
      <c r="D1876" s="136"/>
      <c r="E1876" s="136"/>
      <c r="F1876" s="137"/>
      <c r="I1876" s="149" t="s">
        <v>2464</v>
      </c>
      <c r="J1876" s="150">
        <v>1</v>
      </c>
    </row>
    <row r="1877" spans="1:10" ht="15" customHeight="1">
      <c r="D1877" s="134"/>
    </row>
    <row r="1878" spans="1:10" ht="15" customHeight="1">
      <c r="A1878" s="132" t="s">
        <v>2459</v>
      </c>
      <c r="D1878" s="135" t="s">
        <v>2785</v>
      </c>
      <c r="E1878" s="136"/>
      <c r="F1878" s="136"/>
      <c r="G1878" s="136"/>
      <c r="H1878" s="136"/>
      <c r="I1878" s="136"/>
      <c r="J1878" s="137"/>
    </row>
    <row r="1880" spans="1:10" ht="15" customHeight="1">
      <c r="A1880" s="134" t="s">
        <v>2460</v>
      </c>
    </row>
    <row r="1881" spans="1:10" ht="15" customHeight="1">
      <c r="A1881" s="134"/>
    </row>
    <row r="1882" spans="1:10" ht="15" customHeight="1">
      <c r="A1882" s="130" t="s">
        <v>2786</v>
      </c>
      <c r="B1882" s="129"/>
      <c r="C1882" s="129"/>
      <c r="D1882" s="129"/>
      <c r="E1882" s="129"/>
      <c r="F1882" s="129"/>
      <c r="G1882" s="129"/>
      <c r="H1882" s="129"/>
      <c r="I1882" s="129"/>
      <c r="J1882" s="128"/>
    </row>
    <row r="1883" spans="1:10" ht="15" customHeight="1">
      <c r="A1883" s="127" t="s">
        <v>2787</v>
      </c>
      <c r="B1883" s="143"/>
      <c r="C1883" s="143"/>
      <c r="D1883" s="143"/>
      <c r="E1883" s="143"/>
      <c r="F1883" s="143"/>
      <c r="G1883" s="143"/>
      <c r="H1883" s="143"/>
      <c r="I1883" s="143"/>
      <c r="J1883" s="144"/>
    </row>
    <row r="1884" spans="1:10" ht="15" customHeight="1">
      <c r="A1884" s="127" t="s">
        <v>2788</v>
      </c>
      <c r="B1884" s="143"/>
      <c r="C1884" s="143"/>
      <c r="D1884" s="143"/>
      <c r="E1884" s="143"/>
      <c r="F1884" s="143"/>
      <c r="G1884" s="143"/>
      <c r="H1884" s="143"/>
      <c r="I1884" s="143"/>
      <c r="J1884" s="144"/>
    </row>
    <row r="1885" spans="1:10" ht="15" customHeight="1">
      <c r="A1885" s="127" t="s">
        <v>2789</v>
      </c>
      <c r="B1885" s="143"/>
      <c r="C1885" s="143"/>
      <c r="D1885" s="143"/>
      <c r="E1885" s="143"/>
      <c r="F1885" s="143"/>
      <c r="G1885" s="143"/>
      <c r="H1885" s="143"/>
      <c r="I1885" s="143"/>
      <c r="J1885" s="144"/>
    </row>
    <row r="1886" spans="1:10" ht="15" customHeight="1">
      <c r="A1886" s="127"/>
      <c r="B1886" s="143"/>
      <c r="C1886" s="143"/>
      <c r="D1886" s="143"/>
      <c r="E1886" s="143"/>
      <c r="F1886" s="143"/>
      <c r="G1886" s="143"/>
      <c r="H1886" s="143"/>
      <c r="I1886" s="143"/>
      <c r="J1886" s="144"/>
    </row>
    <row r="1887" spans="1:10" ht="15" customHeight="1">
      <c r="A1887" s="127"/>
      <c r="B1887" s="143"/>
      <c r="C1887" s="143"/>
      <c r="D1887" s="143"/>
      <c r="E1887" s="143"/>
      <c r="F1887" s="143"/>
      <c r="G1887" s="143"/>
      <c r="H1887" s="143"/>
      <c r="I1887" s="143"/>
      <c r="J1887" s="144"/>
    </row>
    <row r="1888" spans="1:10" ht="15" customHeight="1">
      <c r="A1888" s="127"/>
      <c r="B1888" s="143"/>
      <c r="C1888" s="143"/>
      <c r="D1888" s="143"/>
      <c r="E1888" s="143"/>
      <c r="F1888" s="143"/>
      <c r="G1888" s="143"/>
      <c r="H1888" s="143"/>
      <c r="I1888" s="143"/>
      <c r="J1888" s="144"/>
    </row>
    <row r="1889" spans="1:10" ht="15" customHeight="1">
      <c r="A1889" s="127"/>
      <c r="B1889" s="143"/>
      <c r="C1889" s="143"/>
      <c r="D1889" s="143"/>
      <c r="E1889" s="143"/>
      <c r="F1889" s="143"/>
      <c r="G1889" s="143"/>
      <c r="H1889" s="143"/>
      <c r="I1889" s="143"/>
      <c r="J1889" s="144"/>
    </row>
    <row r="1890" spans="1:10" ht="15" customHeight="1">
      <c r="A1890" s="145"/>
      <c r="B1890" s="143"/>
      <c r="C1890" s="143"/>
      <c r="D1890" s="143"/>
      <c r="E1890" s="143"/>
      <c r="F1890" s="143"/>
      <c r="G1890" s="143"/>
      <c r="H1890" s="143"/>
      <c r="I1890" s="143"/>
      <c r="J1890" s="144"/>
    </row>
    <row r="1891" spans="1:10" ht="15" customHeight="1">
      <c r="A1891" s="127"/>
      <c r="B1891" s="143"/>
      <c r="C1891" s="143"/>
      <c r="D1891" s="143"/>
      <c r="E1891" s="143"/>
      <c r="F1891" s="143"/>
      <c r="G1891" s="143"/>
      <c r="H1891" s="143"/>
      <c r="I1891" s="143"/>
      <c r="J1891" s="144"/>
    </row>
    <row r="1892" spans="1:10" ht="15" customHeight="1">
      <c r="A1892" s="146"/>
      <c r="B1892" s="147"/>
      <c r="C1892" s="147"/>
      <c r="D1892" s="147"/>
      <c r="E1892" s="147"/>
      <c r="F1892" s="147"/>
      <c r="G1892" s="147"/>
      <c r="H1892" s="147"/>
      <c r="I1892" s="147"/>
      <c r="J1892" s="148"/>
    </row>
    <row r="1894" spans="1:10" ht="15" customHeight="1">
      <c r="F1894" s="134"/>
      <c r="G1894" s="152" t="s">
        <v>2449</v>
      </c>
      <c r="H1894" s="152"/>
      <c r="I1894" s="152"/>
      <c r="J1894" s="155">
        <v>24242</v>
      </c>
    </row>
    <row r="1895" spans="1:10" ht="15" customHeight="1">
      <c r="F1895" s="134"/>
      <c r="G1895" s="132" t="s">
        <v>2463</v>
      </c>
      <c r="J1895" s="139">
        <v>5000</v>
      </c>
    </row>
    <row r="1896" spans="1:10" ht="15" customHeight="1">
      <c r="F1896" s="134"/>
      <c r="G1896" s="132" t="s">
        <v>2450</v>
      </c>
      <c r="J1896" s="140">
        <v>15000</v>
      </c>
    </row>
    <row r="1898" spans="1:10" ht="15" customHeight="1">
      <c r="E1898" s="1" t="s">
        <v>2451</v>
      </c>
      <c r="F1898" s="1" t="s">
        <v>2452</v>
      </c>
      <c r="G1898" s="132" t="s">
        <v>2453</v>
      </c>
      <c r="J1898" s="1" t="s">
        <v>2454</v>
      </c>
    </row>
    <row r="1899" spans="1:10" ht="15" customHeight="1">
      <c r="C1899" s="132" t="s">
        <v>2461</v>
      </c>
      <c r="E1899" s="150"/>
      <c r="F1899" s="150"/>
      <c r="G1899" s="138"/>
      <c r="H1899" s="141"/>
      <c r="J1899" s="139"/>
    </row>
    <row r="1900" spans="1:10" ht="15" customHeight="1">
      <c r="C1900" s="132" t="s">
        <v>2461</v>
      </c>
      <c r="E1900" s="150"/>
      <c r="F1900" s="150"/>
      <c r="G1900" s="138"/>
      <c r="H1900" s="141"/>
      <c r="J1900" s="139"/>
    </row>
    <row r="1901" spans="1:10" ht="15" customHeight="1">
      <c r="C1901" s="132" t="s">
        <v>2461</v>
      </c>
      <c r="E1901" s="150"/>
      <c r="F1901" s="150"/>
      <c r="G1901" s="138"/>
      <c r="H1901" s="141"/>
      <c r="J1901" s="139"/>
    </row>
    <row r="1902" spans="1:10" ht="15" customHeight="1">
      <c r="C1902" s="132" t="s">
        <v>2461</v>
      </c>
      <c r="E1902" s="150"/>
      <c r="F1902" s="150"/>
      <c r="G1902" s="138"/>
      <c r="H1902" s="141"/>
      <c r="J1902" s="139"/>
    </row>
    <row r="1903" spans="1:10" ht="15" customHeight="1">
      <c r="C1903" s="132" t="s">
        <v>2461</v>
      </c>
      <c r="E1903" s="150"/>
      <c r="F1903" s="150"/>
      <c r="G1903" s="138"/>
      <c r="H1903" s="141"/>
      <c r="J1903" s="139"/>
    </row>
    <row r="1904" spans="1:10" ht="15" customHeight="1">
      <c r="C1904" s="132" t="s">
        <v>2461</v>
      </c>
      <c r="E1904" s="150"/>
      <c r="F1904" s="150"/>
      <c r="G1904" s="138"/>
      <c r="H1904" s="141"/>
      <c r="J1904" s="139"/>
    </row>
    <row r="1905" spans="1:10" ht="15" customHeight="1">
      <c r="C1905" s="132" t="s">
        <v>2461</v>
      </c>
      <c r="E1905" s="150"/>
      <c r="F1905" s="150"/>
      <c r="G1905" s="138"/>
      <c r="H1905" s="141"/>
      <c r="J1905" s="139"/>
    </row>
    <row r="1906" spans="1:10" ht="15" customHeight="1">
      <c r="C1906" s="132" t="s">
        <v>2461</v>
      </c>
      <c r="E1906" s="150"/>
      <c r="F1906" s="150"/>
      <c r="G1906" s="138"/>
      <c r="H1906" s="141"/>
      <c r="J1906" s="139"/>
    </row>
    <row r="1907" spans="1:10" ht="15" customHeight="1">
      <c r="C1907" s="132" t="s">
        <v>2461</v>
      </c>
      <c r="E1907" s="150"/>
      <c r="F1907" s="150"/>
      <c r="G1907" s="138"/>
      <c r="H1907" s="141"/>
      <c r="J1907" s="139"/>
    </row>
    <row r="1908" spans="1:10" ht="15" customHeight="1">
      <c r="C1908" s="132" t="s">
        <v>2461</v>
      </c>
      <c r="E1908" s="150"/>
      <c r="F1908" s="150"/>
      <c r="G1908" s="138"/>
      <c r="H1908" s="141"/>
      <c r="J1908" s="139"/>
    </row>
    <row r="1909" spans="1:10" ht="15" customHeight="1">
      <c r="C1909" s="132" t="s">
        <v>2461</v>
      </c>
      <c r="E1909" s="150"/>
      <c r="F1909" s="150"/>
      <c r="G1909" s="138">
        <v>5567</v>
      </c>
      <c r="H1909" s="141"/>
      <c r="J1909" s="139">
        <v>24242</v>
      </c>
    </row>
    <row r="1910" spans="1:10" ht="15" customHeight="1">
      <c r="C1910" s="132" t="s">
        <v>2461</v>
      </c>
      <c r="E1910" s="150"/>
      <c r="F1910" s="150"/>
      <c r="G1910" s="138" t="s">
        <v>2455</v>
      </c>
      <c r="H1910" s="141"/>
      <c r="I1910" s="131" t="s">
        <v>2462</v>
      </c>
      <c r="J1910" s="139">
        <v>-15000</v>
      </c>
    </row>
    <row r="1911" spans="1:10" ht="15" customHeight="1">
      <c r="E1911" s="154"/>
      <c r="F1911" s="154"/>
      <c r="G1911" s="154"/>
      <c r="H1911" s="154"/>
      <c r="I1911" s="154"/>
      <c r="J1911" s="154"/>
    </row>
    <row r="1912" spans="1:10" ht="15" customHeight="1">
      <c r="F1912" s="134"/>
      <c r="G1912" s="152" t="s">
        <v>2466</v>
      </c>
      <c r="H1912" s="152"/>
      <c r="I1912" s="152"/>
      <c r="J1912" s="153">
        <f>SUM(J1899:J1910)</f>
        <v>9242</v>
      </c>
    </row>
    <row r="1913" spans="1:10" ht="15" customHeight="1">
      <c r="F1913" s="134"/>
      <c r="G1913" s="152"/>
      <c r="H1913" s="152"/>
      <c r="I1913" s="152"/>
      <c r="J1913" s="157"/>
    </row>
    <row r="1914" spans="1:10" ht="15" customHeight="1">
      <c r="F1914" s="134"/>
      <c r="G1914" s="142" t="s">
        <v>2458</v>
      </c>
      <c r="H1914" s="142"/>
      <c r="I1914" s="142"/>
      <c r="J1914" s="156">
        <f>+J1912-J1894+J1896</f>
        <v>0</v>
      </c>
    </row>
    <row r="1918" spans="1:10" ht="15" customHeight="1">
      <c r="F1918" s="1"/>
    </row>
    <row r="1919" spans="1:10" ht="15" customHeight="1">
      <c r="F1919" s="1"/>
    </row>
    <row r="1920" spans="1:10" ht="15" customHeight="1">
      <c r="A1920" s="134"/>
    </row>
    <row r="1921" spans="1:10" ht="15" customHeight="1">
      <c r="A1921" s="134"/>
    </row>
    <row r="1922" spans="1:10" ht="15" customHeight="1">
      <c r="A1922" s="133"/>
    </row>
    <row r="1923" spans="1:10" ht="15" customHeight="1">
      <c r="A1923" s="133"/>
    </row>
    <row r="1924" spans="1:10" ht="15" customHeight="1">
      <c r="F1924" s="151" t="s">
        <v>2580</v>
      </c>
    </row>
    <row r="1925" spans="1:10" ht="15" customHeight="1">
      <c r="A1925" s="133"/>
    </row>
    <row r="1926" spans="1:10" ht="15" customHeight="1">
      <c r="A1926" s="133"/>
      <c r="F1926" s="151" t="s">
        <v>2447</v>
      </c>
    </row>
    <row r="1927" spans="1:10" ht="15" customHeight="1">
      <c r="A1927" s="133"/>
    </row>
    <row r="1928" spans="1:10" ht="15" customHeight="1">
      <c r="A1928" s="142"/>
      <c r="B1928" s="142"/>
      <c r="C1928" s="142"/>
      <c r="D1928" s="142"/>
      <c r="E1928" s="142"/>
      <c r="F1928" s="142"/>
      <c r="G1928" s="142"/>
      <c r="J1928" s="142"/>
    </row>
    <row r="1930" spans="1:10" ht="15" customHeight="1">
      <c r="A1930" s="132" t="s">
        <v>2448</v>
      </c>
      <c r="C1930" s="135" t="s">
        <v>2769</v>
      </c>
      <c r="D1930" s="136"/>
      <c r="E1930" s="137"/>
      <c r="G1930" s="149" t="s">
        <v>2465</v>
      </c>
      <c r="H1930" s="135" t="s">
        <v>2770</v>
      </c>
      <c r="I1930" s="136"/>
      <c r="J1930" s="137"/>
    </row>
    <row r="1932" spans="1:10" ht="15" customHeight="1">
      <c r="A1932" s="134" t="s">
        <v>2456</v>
      </c>
      <c r="C1932" s="135" t="s">
        <v>2711</v>
      </c>
      <c r="D1932" s="136"/>
      <c r="E1932" s="136"/>
      <c r="F1932" s="137"/>
      <c r="I1932" s="149" t="s">
        <v>2464</v>
      </c>
      <c r="J1932" s="150">
        <v>1</v>
      </c>
    </row>
    <row r="1933" spans="1:10" ht="15" customHeight="1">
      <c r="D1933" s="134"/>
    </row>
    <row r="1934" spans="1:10" ht="15" customHeight="1">
      <c r="A1934" s="132" t="s">
        <v>2459</v>
      </c>
      <c r="D1934" s="135" t="s">
        <v>2704</v>
      </c>
      <c r="E1934" s="136"/>
      <c r="F1934" s="136"/>
      <c r="G1934" s="136"/>
      <c r="H1934" s="136"/>
      <c r="I1934" s="136"/>
      <c r="J1934" s="137"/>
    </row>
    <row r="1936" spans="1:10" ht="15" customHeight="1">
      <c r="A1936" s="134" t="s">
        <v>2460</v>
      </c>
    </row>
    <row r="1937" spans="1:10" ht="15" customHeight="1">
      <c r="A1937" s="134"/>
    </row>
    <row r="1938" spans="1:10" ht="15" customHeight="1">
      <c r="A1938" s="130" t="s">
        <v>2790</v>
      </c>
      <c r="B1938" s="129"/>
      <c r="C1938" s="129"/>
      <c r="D1938" s="129"/>
      <c r="E1938" s="129"/>
      <c r="F1938" s="129"/>
      <c r="G1938" s="129"/>
      <c r="H1938" s="129"/>
      <c r="I1938" s="129"/>
      <c r="J1938" s="128"/>
    </row>
    <row r="1939" spans="1:10" ht="15" customHeight="1">
      <c r="A1939" s="127" t="s">
        <v>2791</v>
      </c>
      <c r="B1939" s="143"/>
      <c r="C1939" s="143"/>
      <c r="D1939" s="143"/>
      <c r="E1939" s="143"/>
      <c r="F1939" s="143"/>
      <c r="G1939" s="143"/>
      <c r="H1939" s="143"/>
      <c r="I1939" s="143"/>
      <c r="J1939" s="144"/>
    </row>
    <row r="1940" spans="1:10" ht="15" customHeight="1">
      <c r="A1940" s="127" t="s">
        <v>2792</v>
      </c>
      <c r="B1940" s="143"/>
      <c r="C1940" s="143"/>
      <c r="D1940" s="143"/>
      <c r="E1940" s="143"/>
      <c r="F1940" s="143"/>
      <c r="G1940" s="143"/>
      <c r="H1940" s="143"/>
      <c r="I1940" s="143"/>
      <c r="J1940" s="144"/>
    </row>
    <row r="1941" spans="1:10" ht="15" customHeight="1">
      <c r="A1941" s="127" t="s">
        <v>2793</v>
      </c>
      <c r="B1941" s="143"/>
      <c r="C1941" s="143"/>
      <c r="D1941" s="143"/>
      <c r="E1941" s="143"/>
      <c r="F1941" s="143"/>
      <c r="G1941" s="143"/>
      <c r="H1941" s="143"/>
      <c r="I1941" s="143"/>
      <c r="J1941" s="144"/>
    </row>
    <row r="1942" spans="1:10" ht="15" customHeight="1">
      <c r="A1942" s="127" t="s">
        <v>2794</v>
      </c>
      <c r="B1942" s="143"/>
      <c r="C1942" s="143"/>
      <c r="D1942" s="143"/>
      <c r="E1942" s="143"/>
      <c r="F1942" s="143"/>
      <c r="G1942" s="143"/>
      <c r="H1942" s="143"/>
      <c r="I1942" s="143"/>
      <c r="J1942" s="144"/>
    </row>
    <row r="1943" spans="1:10" ht="15" customHeight="1">
      <c r="A1943" s="127" t="s">
        <v>2795</v>
      </c>
      <c r="B1943" s="143"/>
      <c r="C1943" s="143"/>
      <c r="D1943" s="143"/>
      <c r="E1943" s="143"/>
      <c r="F1943" s="143"/>
      <c r="G1943" s="143"/>
      <c r="H1943" s="143"/>
      <c r="I1943" s="143"/>
      <c r="J1943" s="144"/>
    </row>
    <row r="1944" spans="1:10" ht="15" customHeight="1">
      <c r="A1944" s="127"/>
      <c r="B1944" s="143"/>
      <c r="C1944" s="143"/>
      <c r="D1944" s="143"/>
      <c r="E1944" s="143"/>
      <c r="F1944" s="143"/>
      <c r="G1944" s="143"/>
      <c r="H1944" s="143"/>
      <c r="I1944" s="143"/>
      <c r="J1944" s="144"/>
    </row>
    <row r="1945" spans="1:10" ht="15" customHeight="1">
      <c r="A1945" s="127"/>
      <c r="B1945" s="143"/>
      <c r="C1945" s="143"/>
      <c r="D1945" s="143"/>
      <c r="E1945" s="143"/>
      <c r="F1945" s="143"/>
      <c r="G1945" s="143"/>
      <c r="H1945" s="143"/>
      <c r="I1945" s="143"/>
      <c r="J1945" s="144"/>
    </row>
    <row r="1946" spans="1:10" ht="15" customHeight="1">
      <c r="A1946" s="145"/>
      <c r="B1946" s="143"/>
      <c r="C1946" s="143"/>
      <c r="D1946" s="143"/>
      <c r="E1946" s="143"/>
      <c r="F1946" s="143"/>
      <c r="G1946" s="143"/>
      <c r="H1946" s="143"/>
      <c r="I1946" s="143"/>
      <c r="J1946" s="144"/>
    </row>
    <row r="1947" spans="1:10" ht="15" customHeight="1">
      <c r="A1947" s="127"/>
      <c r="B1947" s="143"/>
      <c r="C1947" s="143"/>
      <c r="D1947" s="143"/>
      <c r="E1947" s="143"/>
      <c r="F1947" s="143"/>
      <c r="G1947" s="143"/>
      <c r="H1947" s="143"/>
      <c r="I1947" s="143"/>
      <c r="J1947" s="144"/>
    </row>
    <row r="1948" spans="1:10" ht="15" customHeight="1">
      <c r="A1948" s="146"/>
      <c r="B1948" s="147"/>
      <c r="C1948" s="147"/>
      <c r="D1948" s="147"/>
      <c r="E1948" s="147"/>
      <c r="F1948" s="147"/>
      <c r="G1948" s="147"/>
      <c r="H1948" s="147"/>
      <c r="I1948" s="147"/>
      <c r="J1948" s="148"/>
    </row>
    <row r="1950" spans="1:10" ht="15" customHeight="1">
      <c r="F1950" s="134"/>
      <c r="G1950" s="152" t="s">
        <v>2449</v>
      </c>
      <c r="H1950" s="152"/>
      <c r="I1950" s="152"/>
      <c r="J1950" s="155">
        <v>21000</v>
      </c>
    </row>
    <row r="1951" spans="1:10" ht="15" customHeight="1">
      <c r="F1951" s="134"/>
      <c r="G1951" s="132" t="s">
        <v>2463</v>
      </c>
      <c r="J1951" s="139">
        <v>5000</v>
      </c>
    </row>
    <row r="1952" spans="1:10" ht="15" customHeight="1">
      <c r="F1952" s="134"/>
      <c r="G1952" s="132" t="s">
        <v>2450</v>
      </c>
      <c r="J1952" s="140">
        <v>15000</v>
      </c>
    </row>
    <row r="1954" spans="3:10" ht="15" customHeight="1">
      <c r="E1954" s="1" t="s">
        <v>2451</v>
      </c>
      <c r="F1954" s="1" t="s">
        <v>2452</v>
      </c>
      <c r="G1954" s="132" t="s">
        <v>2453</v>
      </c>
      <c r="J1954" s="1" t="s">
        <v>2454</v>
      </c>
    </row>
    <row r="1955" spans="3:10" ht="15" customHeight="1">
      <c r="C1955" s="132" t="s">
        <v>2461</v>
      </c>
      <c r="E1955" s="150"/>
      <c r="F1955" s="150"/>
      <c r="G1955" s="138"/>
      <c r="H1955" s="141"/>
      <c r="J1955" s="139"/>
    </row>
    <row r="1956" spans="3:10" ht="15" customHeight="1">
      <c r="C1956" s="132" t="s">
        <v>2461</v>
      </c>
      <c r="E1956" s="150"/>
      <c r="F1956" s="150"/>
      <c r="G1956" s="138"/>
      <c r="H1956" s="141"/>
      <c r="J1956" s="139"/>
    </row>
    <row r="1957" spans="3:10" ht="15" customHeight="1">
      <c r="C1957" s="132" t="s">
        <v>2461</v>
      </c>
      <c r="E1957" s="150"/>
      <c r="F1957" s="150"/>
      <c r="G1957" s="138"/>
      <c r="H1957" s="141"/>
      <c r="J1957" s="139"/>
    </row>
    <row r="1958" spans="3:10" ht="15" customHeight="1">
      <c r="C1958" s="132" t="s">
        <v>2461</v>
      </c>
      <c r="E1958" s="150"/>
      <c r="F1958" s="150"/>
      <c r="G1958" s="138"/>
      <c r="H1958" s="141"/>
      <c r="J1958" s="139"/>
    </row>
    <row r="1959" spans="3:10" ht="15" customHeight="1">
      <c r="C1959" s="132" t="s">
        <v>2461</v>
      </c>
      <c r="E1959" s="150"/>
      <c r="F1959" s="150"/>
      <c r="G1959" s="138"/>
      <c r="H1959" s="141"/>
      <c r="J1959" s="139"/>
    </row>
    <row r="1960" spans="3:10" ht="15" customHeight="1">
      <c r="C1960" s="132" t="s">
        <v>2461</v>
      </c>
      <c r="E1960" s="150"/>
      <c r="F1960" s="150"/>
      <c r="G1960" s="138"/>
      <c r="H1960" s="141"/>
      <c r="J1960" s="139"/>
    </row>
    <row r="1961" spans="3:10" ht="15" customHeight="1">
      <c r="C1961" s="132" t="s">
        <v>2461</v>
      </c>
      <c r="E1961" s="150"/>
      <c r="F1961" s="150"/>
      <c r="G1961" s="138"/>
      <c r="H1961" s="141"/>
      <c r="J1961" s="139"/>
    </row>
    <row r="1962" spans="3:10" ht="15" customHeight="1">
      <c r="C1962" s="132" t="s">
        <v>2461</v>
      </c>
      <c r="E1962" s="150"/>
      <c r="F1962" s="150"/>
      <c r="G1962" s="138"/>
      <c r="H1962" s="141"/>
      <c r="J1962" s="139"/>
    </row>
    <row r="1963" spans="3:10" ht="15" customHeight="1">
      <c r="C1963" s="132" t="s">
        <v>2461</v>
      </c>
      <c r="E1963" s="150"/>
      <c r="F1963" s="150"/>
      <c r="G1963" s="138"/>
      <c r="H1963" s="141"/>
      <c r="J1963" s="139"/>
    </row>
    <row r="1964" spans="3:10" ht="15" customHeight="1">
      <c r="C1964" s="132" t="s">
        <v>2461</v>
      </c>
      <c r="E1964" s="150"/>
      <c r="F1964" s="150"/>
      <c r="G1964" s="138"/>
      <c r="H1964" s="141"/>
      <c r="J1964" s="139"/>
    </row>
    <row r="1965" spans="3:10" ht="15" customHeight="1">
      <c r="C1965" s="132" t="s">
        <v>2461</v>
      </c>
      <c r="E1965" s="150"/>
      <c r="F1965" s="150"/>
      <c r="G1965" s="138">
        <v>5569</v>
      </c>
      <c r="H1965" s="141"/>
      <c r="J1965" s="139">
        <v>21000</v>
      </c>
    </row>
    <row r="1966" spans="3:10" ht="15" customHeight="1">
      <c r="C1966" s="132" t="s">
        <v>2461</v>
      </c>
      <c r="E1966" s="150"/>
      <c r="F1966" s="150"/>
      <c r="G1966" s="138" t="s">
        <v>2455</v>
      </c>
      <c r="H1966" s="141"/>
      <c r="I1966" s="131" t="s">
        <v>2462</v>
      </c>
      <c r="J1966" s="139">
        <v>-15000</v>
      </c>
    </row>
    <row r="1967" spans="3:10" ht="15" customHeight="1">
      <c r="E1967" s="154"/>
      <c r="F1967" s="154"/>
      <c r="G1967" s="154"/>
      <c r="H1967" s="154"/>
      <c r="I1967" s="154"/>
      <c r="J1967" s="154"/>
    </row>
    <row r="1968" spans="3:10" ht="15" customHeight="1">
      <c r="F1968" s="134"/>
      <c r="G1968" s="152" t="s">
        <v>2466</v>
      </c>
      <c r="H1968" s="152"/>
      <c r="I1968" s="152"/>
      <c r="J1968" s="153">
        <f>SUM(J1955:J1966)</f>
        <v>6000</v>
      </c>
    </row>
    <row r="1969" spans="1:10" ht="15" customHeight="1">
      <c r="F1969" s="134"/>
      <c r="G1969" s="152"/>
      <c r="H1969" s="152"/>
      <c r="I1969" s="152"/>
      <c r="J1969" s="157"/>
    </row>
    <row r="1970" spans="1:10" ht="15" customHeight="1">
      <c r="F1970" s="134"/>
      <c r="G1970" s="142" t="s">
        <v>2458</v>
      </c>
      <c r="H1970" s="142"/>
      <c r="I1970" s="142"/>
      <c r="J1970" s="156">
        <f>+J1968-J1950+J1952</f>
        <v>0</v>
      </c>
    </row>
    <row r="1975" spans="1:10" ht="15" customHeight="1">
      <c r="F1975" s="1"/>
    </row>
    <row r="1976" spans="1:10" ht="15" customHeight="1">
      <c r="F1976" s="1"/>
    </row>
    <row r="1977" spans="1:10" ht="15" customHeight="1">
      <c r="A1977" s="134"/>
    </row>
    <row r="1978" spans="1:10" ht="15" customHeight="1">
      <c r="A1978" s="134"/>
    </row>
    <row r="1979" spans="1:10" ht="15" customHeight="1">
      <c r="A1979" s="133"/>
    </row>
    <row r="1980" spans="1:10" ht="15" customHeight="1">
      <c r="A1980" s="133"/>
    </row>
    <row r="1981" spans="1:10" ht="15" customHeight="1">
      <c r="F1981" s="151" t="s">
        <v>2580</v>
      </c>
    </row>
    <row r="1982" spans="1:10" ht="15" customHeight="1">
      <c r="A1982" s="133"/>
    </row>
    <row r="1983" spans="1:10" ht="15" customHeight="1">
      <c r="A1983" s="133"/>
      <c r="F1983" s="151" t="s">
        <v>2447</v>
      </c>
    </row>
    <row r="1984" spans="1:10" ht="15" customHeight="1">
      <c r="A1984" s="133"/>
    </row>
    <row r="1985" spans="1:10" ht="15" customHeight="1">
      <c r="A1985" s="142"/>
      <c r="B1985" s="142"/>
      <c r="C1985" s="142"/>
      <c r="D1985" s="142"/>
      <c r="E1985" s="142"/>
      <c r="F1985" s="142"/>
      <c r="G1985" s="142"/>
      <c r="J1985" s="142"/>
    </row>
    <row r="1987" spans="1:10" ht="15" customHeight="1">
      <c r="A1987" s="132" t="s">
        <v>2448</v>
      </c>
      <c r="C1987" s="135" t="s">
        <v>2666</v>
      </c>
      <c r="D1987" s="136"/>
      <c r="E1987" s="137"/>
      <c r="G1987" s="149" t="s">
        <v>2465</v>
      </c>
      <c r="H1987" s="135" t="s">
        <v>2796</v>
      </c>
      <c r="I1987" s="136"/>
      <c r="J1987" s="137"/>
    </row>
    <row r="1989" spans="1:10" ht="15" customHeight="1">
      <c r="A1989" s="134" t="s">
        <v>2456</v>
      </c>
      <c r="C1989" s="135" t="s">
        <v>2668</v>
      </c>
      <c r="D1989" s="136"/>
      <c r="E1989" s="136"/>
      <c r="F1989" s="137"/>
      <c r="I1989" s="149" t="s">
        <v>2464</v>
      </c>
      <c r="J1989" s="150">
        <v>1</v>
      </c>
    </row>
    <row r="1990" spans="1:10" ht="15" customHeight="1">
      <c r="D1990" s="134"/>
    </row>
    <row r="1991" spans="1:10" ht="15" customHeight="1">
      <c r="A1991" s="132" t="s">
        <v>2459</v>
      </c>
      <c r="D1991" s="135" t="s">
        <v>2709</v>
      </c>
      <c r="E1991" s="136"/>
      <c r="F1991" s="136"/>
      <c r="G1991" s="136"/>
      <c r="H1991" s="136"/>
      <c r="I1991" s="136"/>
      <c r="J1991" s="137"/>
    </row>
    <row r="1993" spans="1:10" ht="15" customHeight="1">
      <c r="A1993" s="134" t="s">
        <v>2460</v>
      </c>
    </row>
    <row r="1994" spans="1:10" ht="15" customHeight="1">
      <c r="A1994" s="134"/>
    </row>
    <row r="1995" spans="1:10" ht="15" customHeight="1">
      <c r="A1995" s="130" t="s">
        <v>2753</v>
      </c>
      <c r="B1995" s="129"/>
      <c r="C1995" s="129"/>
      <c r="D1995" s="129"/>
      <c r="E1995" s="129"/>
      <c r="F1995" s="129"/>
      <c r="G1995" s="129"/>
      <c r="H1995" s="129"/>
      <c r="I1995" s="129"/>
      <c r="J1995" s="128"/>
    </row>
    <row r="1996" spans="1:10" ht="15" customHeight="1">
      <c r="A1996" s="127"/>
      <c r="B1996" s="143"/>
      <c r="C1996" s="143"/>
      <c r="D1996" s="143"/>
      <c r="E1996" s="143"/>
      <c r="F1996" s="143"/>
      <c r="G1996" s="143"/>
      <c r="H1996" s="143"/>
      <c r="I1996" s="143"/>
      <c r="J1996" s="144"/>
    </row>
    <row r="1997" spans="1:10" ht="15" customHeight="1">
      <c r="A1997" s="127"/>
      <c r="B1997" s="143"/>
      <c r="C1997" s="143"/>
      <c r="D1997" s="143"/>
      <c r="E1997" s="143"/>
      <c r="F1997" s="143"/>
      <c r="G1997" s="143"/>
      <c r="H1997" s="143"/>
      <c r="I1997" s="143"/>
      <c r="J1997" s="144"/>
    </row>
    <row r="1998" spans="1:10" ht="15" customHeight="1">
      <c r="A1998" s="127"/>
      <c r="B1998" s="143"/>
      <c r="C1998" s="143"/>
      <c r="D1998" s="143"/>
      <c r="E1998" s="143"/>
      <c r="F1998" s="143"/>
      <c r="G1998" s="143"/>
      <c r="H1998" s="143"/>
      <c r="I1998" s="143"/>
      <c r="J1998" s="144"/>
    </row>
    <row r="1999" spans="1:10" ht="15" customHeight="1">
      <c r="A1999" s="127"/>
      <c r="B1999" s="143"/>
      <c r="C1999" s="143"/>
      <c r="D1999" s="143"/>
      <c r="E1999" s="143"/>
      <c r="F1999" s="143"/>
      <c r="G1999" s="143"/>
      <c r="H1999" s="143"/>
      <c r="I1999" s="143"/>
      <c r="J1999" s="144"/>
    </row>
    <row r="2000" spans="1:10" ht="15" customHeight="1">
      <c r="A2000" s="127"/>
      <c r="B2000" s="143"/>
      <c r="C2000" s="143"/>
      <c r="D2000" s="143"/>
      <c r="E2000" s="143"/>
      <c r="F2000" s="143"/>
      <c r="G2000" s="143"/>
      <c r="H2000" s="143"/>
      <c r="I2000" s="143"/>
      <c r="J2000" s="144"/>
    </row>
    <row r="2001" spans="1:10" ht="15" customHeight="1">
      <c r="A2001" s="127"/>
      <c r="B2001" s="143"/>
      <c r="C2001" s="143"/>
      <c r="D2001" s="143"/>
      <c r="E2001" s="143"/>
      <c r="F2001" s="143"/>
      <c r="G2001" s="143"/>
      <c r="H2001" s="143"/>
      <c r="I2001" s="143"/>
      <c r="J2001" s="144"/>
    </row>
    <row r="2002" spans="1:10" ht="15" customHeight="1">
      <c r="A2002" s="127"/>
      <c r="B2002" s="143"/>
      <c r="C2002" s="143"/>
      <c r="D2002" s="143"/>
      <c r="E2002" s="143"/>
      <c r="F2002" s="143"/>
      <c r="G2002" s="143"/>
      <c r="H2002" s="143"/>
      <c r="I2002" s="143"/>
      <c r="J2002" s="144"/>
    </row>
    <row r="2003" spans="1:10" ht="15" customHeight="1">
      <c r="A2003" s="145"/>
      <c r="B2003" s="143"/>
      <c r="C2003" s="143"/>
      <c r="D2003" s="143"/>
      <c r="E2003" s="143"/>
      <c r="F2003" s="143"/>
      <c r="G2003" s="143"/>
      <c r="H2003" s="143"/>
      <c r="I2003" s="143"/>
      <c r="J2003" s="144"/>
    </row>
    <row r="2004" spans="1:10" ht="15" customHeight="1">
      <c r="A2004" s="127"/>
      <c r="B2004" s="143"/>
      <c r="C2004" s="143"/>
      <c r="D2004" s="143"/>
      <c r="E2004" s="143"/>
      <c r="F2004" s="143"/>
      <c r="G2004" s="143"/>
      <c r="H2004" s="143"/>
      <c r="I2004" s="143"/>
      <c r="J2004" s="144"/>
    </row>
    <row r="2005" spans="1:10" ht="15" customHeight="1">
      <c r="A2005" s="146"/>
      <c r="B2005" s="147"/>
      <c r="C2005" s="147"/>
      <c r="D2005" s="147"/>
      <c r="E2005" s="147"/>
      <c r="F2005" s="147"/>
      <c r="G2005" s="147"/>
      <c r="H2005" s="147"/>
      <c r="I2005" s="147"/>
      <c r="J2005" s="148"/>
    </row>
    <row r="2007" spans="1:10" ht="15" customHeight="1">
      <c r="F2007" s="134"/>
      <c r="G2007" s="152" t="s">
        <v>2449</v>
      </c>
      <c r="H2007" s="152"/>
      <c r="I2007" s="152"/>
      <c r="J2007" s="155">
        <v>4840</v>
      </c>
    </row>
    <row r="2008" spans="1:10" ht="15" customHeight="1">
      <c r="F2008" s="134"/>
      <c r="G2008" s="132" t="s">
        <v>2463</v>
      </c>
      <c r="J2008" s="139">
        <v>0</v>
      </c>
    </row>
    <row r="2009" spans="1:10" ht="15" customHeight="1">
      <c r="F2009" s="134"/>
      <c r="G2009" s="132" t="s">
        <v>2450</v>
      </c>
      <c r="J2009" s="140">
        <v>0</v>
      </c>
    </row>
    <row r="2011" spans="1:10" ht="15" customHeight="1">
      <c r="E2011" s="1" t="s">
        <v>2451</v>
      </c>
      <c r="F2011" s="1" t="s">
        <v>2452</v>
      </c>
      <c r="G2011" s="132" t="s">
        <v>2453</v>
      </c>
      <c r="J2011" s="1" t="s">
        <v>2454</v>
      </c>
    </row>
    <row r="2012" spans="1:10" ht="15" customHeight="1">
      <c r="C2012" s="132" t="s">
        <v>2461</v>
      </c>
      <c r="E2012" s="150"/>
      <c r="F2012" s="150"/>
      <c r="G2012" s="138"/>
      <c r="H2012" s="141"/>
      <c r="J2012" s="139"/>
    </row>
    <row r="2013" spans="1:10" ht="15" customHeight="1">
      <c r="C2013" s="132" t="s">
        <v>2461</v>
      </c>
      <c r="E2013" s="150"/>
      <c r="F2013" s="150"/>
      <c r="G2013" s="138"/>
      <c r="H2013" s="141"/>
      <c r="J2013" s="139"/>
    </row>
    <row r="2014" spans="1:10" ht="15" customHeight="1">
      <c r="C2014" s="132" t="s">
        <v>2461</v>
      </c>
      <c r="E2014" s="150"/>
      <c r="F2014" s="150"/>
      <c r="G2014" s="138"/>
      <c r="H2014" s="141"/>
      <c r="J2014" s="139"/>
    </row>
    <row r="2015" spans="1:10" ht="15" customHeight="1">
      <c r="C2015" s="132" t="s">
        <v>2461</v>
      </c>
      <c r="E2015" s="150"/>
      <c r="F2015" s="150"/>
      <c r="G2015" s="138"/>
      <c r="H2015" s="141"/>
      <c r="J2015" s="139"/>
    </row>
    <row r="2016" spans="1:10" ht="15" customHeight="1">
      <c r="C2016" s="132" t="s">
        <v>2461</v>
      </c>
      <c r="E2016" s="150"/>
      <c r="F2016" s="150"/>
      <c r="G2016" s="138"/>
      <c r="H2016" s="141"/>
      <c r="J2016" s="139"/>
    </row>
    <row r="2017" spans="3:10" ht="15" customHeight="1">
      <c r="C2017" s="132" t="s">
        <v>2461</v>
      </c>
      <c r="E2017" s="150"/>
      <c r="F2017" s="150"/>
      <c r="G2017" s="138"/>
      <c r="H2017" s="141"/>
      <c r="J2017" s="139"/>
    </row>
    <row r="2018" spans="3:10" ht="15" customHeight="1">
      <c r="C2018" s="132" t="s">
        <v>2461</v>
      </c>
      <c r="E2018" s="150"/>
      <c r="F2018" s="150"/>
      <c r="G2018" s="138"/>
      <c r="H2018" s="141"/>
      <c r="J2018" s="139"/>
    </row>
    <row r="2019" spans="3:10" ht="15" customHeight="1">
      <c r="C2019" s="132" t="s">
        <v>2461</v>
      </c>
      <c r="E2019" s="150"/>
      <c r="F2019" s="150"/>
      <c r="G2019" s="138"/>
      <c r="H2019" s="141"/>
      <c r="J2019" s="139"/>
    </row>
    <row r="2020" spans="3:10" ht="15" customHeight="1">
      <c r="C2020" s="132" t="s">
        <v>2461</v>
      </c>
      <c r="E2020" s="150"/>
      <c r="F2020" s="150"/>
      <c r="G2020" s="138"/>
      <c r="H2020" s="141"/>
      <c r="J2020" s="139"/>
    </row>
    <row r="2021" spans="3:10" ht="15" customHeight="1">
      <c r="C2021" s="132" t="s">
        <v>2461</v>
      </c>
      <c r="E2021" s="150"/>
      <c r="F2021" s="150"/>
      <c r="G2021" s="138"/>
      <c r="H2021" s="141"/>
      <c r="J2021" s="139"/>
    </row>
    <row r="2022" spans="3:10" ht="15" customHeight="1">
      <c r="C2022" s="132" t="s">
        <v>2461</v>
      </c>
      <c r="E2022" s="150"/>
      <c r="F2022" s="150"/>
      <c r="G2022" s="138">
        <v>5230</v>
      </c>
      <c r="H2022" s="141"/>
      <c r="J2022" s="139">
        <v>4840</v>
      </c>
    </row>
    <row r="2023" spans="3:10" ht="15" customHeight="1">
      <c r="C2023" s="132" t="s">
        <v>2461</v>
      </c>
      <c r="E2023" s="150"/>
      <c r="F2023" s="150"/>
      <c r="G2023" s="138">
        <v>0</v>
      </c>
      <c r="H2023" s="141"/>
      <c r="I2023" s="131" t="s">
        <v>2462</v>
      </c>
      <c r="J2023" s="139">
        <v>0</v>
      </c>
    </row>
    <row r="2024" spans="3:10" ht="15" customHeight="1">
      <c r="E2024" s="154"/>
      <c r="F2024" s="154"/>
      <c r="G2024" s="154"/>
      <c r="H2024" s="154"/>
      <c r="I2024" s="154"/>
      <c r="J2024" s="154"/>
    </row>
    <row r="2025" spans="3:10" ht="15" customHeight="1">
      <c r="F2025" s="134"/>
      <c r="G2025" s="152" t="s">
        <v>2466</v>
      </c>
      <c r="H2025" s="152"/>
      <c r="I2025" s="152"/>
      <c r="J2025" s="153">
        <f>SUM(J2012:J2023)</f>
        <v>4840</v>
      </c>
    </row>
    <row r="2026" spans="3:10" ht="15" customHeight="1">
      <c r="F2026" s="134"/>
      <c r="G2026" s="152"/>
      <c r="H2026" s="152"/>
      <c r="I2026" s="152"/>
      <c r="J2026" s="157"/>
    </row>
    <row r="2027" spans="3:10" ht="15" customHeight="1">
      <c r="F2027" s="134"/>
      <c r="G2027" s="142" t="s">
        <v>2458</v>
      </c>
      <c r="H2027" s="142"/>
      <c r="I2027" s="142"/>
      <c r="J2027" s="156">
        <f>+J2025-J2007+J2009</f>
        <v>0</v>
      </c>
    </row>
    <row r="2032" spans="3:10" ht="15" customHeight="1">
      <c r="F2032" s="1"/>
    </row>
    <row r="2033" spans="1:10" ht="15" customHeight="1">
      <c r="F2033" s="1"/>
    </row>
    <row r="2034" spans="1:10" ht="15" customHeight="1">
      <c r="A2034" s="134"/>
    </row>
    <row r="2035" spans="1:10" ht="15" customHeight="1">
      <c r="A2035" s="134"/>
    </row>
    <row r="2036" spans="1:10" ht="15" customHeight="1">
      <c r="A2036" s="133"/>
    </row>
    <row r="2037" spans="1:10" ht="15" customHeight="1">
      <c r="A2037" s="133"/>
    </row>
    <row r="2038" spans="1:10" ht="15" customHeight="1">
      <c r="F2038" s="151" t="s">
        <v>2580</v>
      </c>
    </row>
    <row r="2039" spans="1:10" ht="15" customHeight="1">
      <c r="A2039" s="133"/>
    </row>
    <row r="2040" spans="1:10" ht="15" customHeight="1">
      <c r="A2040" s="133"/>
      <c r="F2040" s="151" t="s">
        <v>2447</v>
      </c>
    </row>
    <row r="2041" spans="1:10" ht="15" customHeight="1">
      <c r="A2041" s="133"/>
    </row>
    <row r="2042" spans="1:10" ht="15" customHeight="1">
      <c r="A2042" s="142"/>
      <c r="B2042" s="142"/>
      <c r="C2042" s="142"/>
      <c r="D2042" s="142"/>
      <c r="E2042" s="142"/>
      <c r="F2042" s="142"/>
      <c r="G2042" s="142"/>
      <c r="J2042" s="142"/>
    </row>
    <row r="2044" spans="1:10" ht="15" customHeight="1">
      <c r="A2044" s="132" t="s">
        <v>2448</v>
      </c>
      <c r="C2044" s="135" t="s">
        <v>2769</v>
      </c>
      <c r="D2044" s="136"/>
      <c r="E2044" s="137"/>
      <c r="G2044" s="149" t="s">
        <v>2465</v>
      </c>
      <c r="H2044" s="135" t="s">
        <v>2797</v>
      </c>
      <c r="I2044" s="136"/>
      <c r="J2044" s="137"/>
    </row>
    <row r="2046" spans="1:10" ht="15" customHeight="1">
      <c r="A2046" s="134" t="s">
        <v>2456</v>
      </c>
      <c r="C2046" s="135" t="s">
        <v>2668</v>
      </c>
      <c r="D2046" s="136"/>
      <c r="E2046" s="136"/>
      <c r="F2046" s="137"/>
      <c r="I2046" s="149" t="s">
        <v>2464</v>
      </c>
      <c r="J2046" s="150">
        <v>1</v>
      </c>
    </row>
    <row r="2047" spans="1:10" ht="15" customHeight="1">
      <c r="D2047" s="134"/>
    </row>
    <row r="2048" spans="1:10" ht="15" customHeight="1">
      <c r="A2048" s="132" t="s">
        <v>2459</v>
      </c>
      <c r="D2048" s="135" t="s">
        <v>2798</v>
      </c>
      <c r="E2048" s="136"/>
      <c r="F2048" s="136"/>
      <c r="G2048" s="136"/>
      <c r="H2048" s="136"/>
      <c r="I2048" s="136"/>
      <c r="J2048" s="137"/>
    </row>
    <row r="2050" spans="1:10" ht="15" customHeight="1">
      <c r="A2050" s="134" t="s">
        <v>2460</v>
      </c>
    </row>
    <row r="2051" spans="1:10" ht="15" customHeight="1">
      <c r="A2051" s="134"/>
    </row>
    <row r="2052" spans="1:10" ht="15" customHeight="1">
      <c r="A2052" s="130" t="s">
        <v>2799</v>
      </c>
      <c r="B2052" s="129"/>
      <c r="C2052" s="129"/>
      <c r="D2052" s="129"/>
      <c r="E2052" s="129"/>
      <c r="F2052" s="129"/>
      <c r="G2052" s="129"/>
      <c r="H2052" s="129"/>
      <c r="I2052" s="129"/>
      <c r="J2052" s="128"/>
    </row>
    <row r="2053" spans="1:10" ht="15" customHeight="1">
      <c r="A2053" s="127" t="s">
        <v>2800</v>
      </c>
      <c r="B2053" s="143"/>
      <c r="C2053" s="143"/>
      <c r="D2053" s="143"/>
      <c r="E2053" s="143"/>
      <c r="F2053" s="143"/>
      <c r="G2053" s="143"/>
      <c r="H2053" s="143"/>
      <c r="I2053" s="143"/>
      <c r="J2053" s="144"/>
    </row>
    <row r="2054" spans="1:10" ht="15" customHeight="1">
      <c r="A2054" s="127" t="s">
        <v>2801</v>
      </c>
      <c r="B2054" s="143"/>
      <c r="C2054" s="143" t="s">
        <v>2802</v>
      </c>
      <c r="D2054" s="143"/>
      <c r="E2054" s="143"/>
      <c r="F2054" s="143"/>
      <c r="G2054" s="143"/>
      <c r="H2054" s="143"/>
      <c r="I2054" s="143"/>
      <c r="J2054" s="144"/>
    </row>
    <row r="2055" spans="1:10" ht="15" customHeight="1">
      <c r="A2055" s="127"/>
      <c r="B2055" s="143"/>
      <c r="C2055" s="143"/>
      <c r="D2055" s="143"/>
      <c r="E2055" s="143"/>
      <c r="F2055" s="143"/>
      <c r="G2055" s="143"/>
      <c r="H2055" s="143"/>
      <c r="I2055" s="143"/>
      <c r="J2055" s="144"/>
    </row>
    <row r="2056" spans="1:10" ht="15" customHeight="1">
      <c r="A2056" s="127"/>
      <c r="B2056" s="143"/>
      <c r="C2056" s="143"/>
      <c r="D2056" s="143"/>
      <c r="E2056" s="143"/>
      <c r="F2056" s="143"/>
      <c r="G2056" s="143"/>
      <c r="H2056" s="143"/>
      <c r="I2056" s="143"/>
      <c r="J2056" s="144"/>
    </row>
    <row r="2057" spans="1:10" ht="15" customHeight="1">
      <c r="A2057" s="127"/>
      <c r="B2057" s="143"/>
      <c r="C2057" s="143"/>
      <c r="D2057" s="143"/>
      <c r="E2057" s="143"/>
      <c r="F2057" s="143"/>
      <c r="G2057" s="143"/>
      <c r="H2057" s="143"/>
      <c r="I2057" s="143"/>
      <c r="J2057" s="144"/>
    </row>
    <row r="2058" spans="1:10" ht="15" customHeight="1">
      <c r="A2058" s="127"/>
      <c r="B2058" s="143"/>
      <c r="C2058" s="143"/>
      <c r="D2058" s="143"/>
      <c r="E2058" s="143"/>
      <c r="F2058" s="143"/>
      <c r="G2058" s="143"/>
      <c r="H2058" s="143"/>
      <c r="I2058" s="143"/>
      <c r="J2058" s="144"/>
    </row>
    <row r="2059" spans="1:10" ht="15" customHeight="1">
      <c r="A2059" s="127"/>
      <c r="B2059" s="143"/>
      <c r="C2059" s="143"/>
      <c r="D2059" s="143"/>
      <c r="E2059" s="143"/>
      <c r="F2059" s="143"/>
      <c r="G2059" s="143"/>
      <c r="H2059" s="143"/>
      <c r="I2059" s="143"/>
      <c r="J2059" s="144"/>
    </row>
    <row r="2060" spans="1:10" ht="15" customHeight="1">
      <c r="A2060" s="145"/>
      <c r="B2060" s="143"/>
      <c r="C2060" s="143"/>
      <c r="D2060" s="143"/>
      <c r="E2060" s="143"/>
      <c r="F2060" s="143"/>
      <c r="G2060" s="143"/>
      <c r="H2060" s="143"/>
      <c r="I2060" s="143"/>
      <c r="J2060" s="144"/>
    </row>
    <row r="2061" spans="1:10" ht="15" customHeight="1">
      <c r="A2061" s="127"/>
      <c r="B2061" s="143"/>
      <c r="C2061" s="143"/>
      <c r="D2061" s="143"/>
      <c r="E2061" s="143"/>
      <c r="F2061" s="143"/>
      <c r="G2061" s="143"/>
      <c r="H2061" s="143"/>
      <c r="I2061" s="143"/>
      <c r="J2061" s="144"/>
    </row>
    <row r="2062" spans="1:10" ht="15" customHeight="1">
      <c r="A2062" s="146"/>
      <c r="B2062" s="147"/>
      <c r="C2062" s="147"/>
      <c r="D2062" s="147"/>
      <c r="E2062" s="147"/>
      <c r="F2062" s="147"/>
      <c r="G2062" s="147"/>
      <c r="H2062" s="147"/>
      <c r="I2062" s="147"/>
      <c r="J2062" s="148"/>
    </row>
    <row r="2064" spans="1:10" ht="15" customHeight="1">
      <c r="F2064" s="134"/>
      <c r="G2064" s="152" t="s">
        <v>2449</v>
      </c>
      <c r="H2064" s="152"/>
      <c r="I2064" s="152"/>
      <c r="J2064" s="155">
        <v>60000</v>
      </c>
    </row>
    <row r="2065" spans="3:10" ht="15" customHeight="1">
      <c r="F2065" s="134"/>
      <c r="G2065" s="132" t="s">
        <v>2463</v>
      </c>
      <c r="J2065" s="139">
        <v>0</v>
      </c>
    </row>
    <row r="2066" spans="3:10" ht="15" customHeight="1">
      <c r="F2066" s="134"/>
      <c r="G2066" s="132" t="s">
        <v>2450</v>
      </c>
      <c r="J2066" s="140">
        <v>0</v>
      </c>
    </row>
    <row r="2068" spans="3:10" ht="15" customHeight="1">
      <c r="E2068" s="1" t="s">
        <v>2451</v>
      </c>
      <c r="F2068" s="1" t="s">
        <v>2452</v>
      </c>
      <c r="G2068" s="132" t="s">
        <v>2453</v>
      </c>
      <c r="J2068" s="1" t="s">
        <v>2454</v>
      </c>
    </row>
    <row r="2069" spans="3:10" ht="15" customHeight="1">
      <c r="C2069" s="132" t="s">
        <v>2461</v>
      </c>
      <c r="E2069" s="150"/>
      <c r="F2069" s="150"/>
      <c r="G2069" s="138"/>
      <c r="H2069" s="141"/>
      <c r="J2069" s="139"/>
    </row>
    <row r="2070" spans="3:10" ht="15" customHeight="1">
      <c r="C2070" s="132" t="s">
        <v>2461</v>
      </c>
      <c r="E2070" s="150"/>
      <c r="F2070" s="150"/>
      <c r="G2070" s="138"/>
      <c r="H2070" s="141"/>
      <c r="J2070" s="139"/>
    </row>
    <row r="2071" spans="3:10" ht="15" customHeight="1">
      <c r="C2071" s="132" t="s">
        <v>2461</v>
      </c>
      <c r="E2071" s="150"/>
      <c r="F2071" s="150"/>
      <c r="G2071" s="138"/>
      <c r="H2071" s="141"/>
      <c r="J2071" s="139"/>
    </row>
    <row r="2072" spans="3:10" ht="15" customHeight="1">
      <c r="C2072" s="132" t="s">
        <v>2461</v>
      </c>
      <c r="E2072" s="150"/>
      <c r="F2072" s="150"/>
      <c r="G2072" s="138"/>
      <c r="H2072" s="141"/>
      <c r="J2072" s="139"/>
    </row>
    <row r="2073" spans="3:10" ht="15" customHeight="1">
      <c r="C2073" s="132" t="s">
        <v>2461</v>
      </c>
      <c r="E2073" s="150"/>
      <c r="F2073" s="150"/>
      <c r="G2073" s="138"/>
      <c r="H2073" s="141"/>
      <c r="J2073" s="139"/>
    </row>
    <row r="2074" spans="3:10" ht="15" customHeight="1">
      <c r="C2074" s="132" t="s">
        <v>2461</v>
      </c>
      <c r="E2074" s="150"/>
      <c r="F2074" s="150"/>
      <c r="G2074" s="138"/>
      <c r="H2074" s="141"/>
      <c r="J2074" s="139"/>
    </row>
    <row r="2075" spans="3:10" ht="15" customHeight="1">
      <c r="C2075" s="132" t="s">
        <v>2461</v>
      </c>
      <c r="E2075" s="150"/>
      <c r="F2075" s="150"/>
      <c r="G2075" s="138"/>
      <c r="H2075" s="141"/>
      <c r="J2075" s="139"/>
    </row>
    <row r="2076" spans="3:10" ht="15" customHeight="1">
      <c r="C2076" s="132" t="s">
        <v>2461</v>
      </c>
      <c r="E2076" s="150"/>
      <c r="F2076" s="150"/>
      <c r="G2076" s="138"/>
      <c r="H2076" s="141"/>
      <c r="J2076" s="139"/>
    </row>
    <row r="2077" spans="3:10" ht="15" customHeight="1">
      <c r="C2077" s="132" t="s">
        <v>2461</v>
      </c>
      <c r="E2077" s="150"/>
      <c r="F2077" s="150"/>
      <c r="G2077" s="138"/>
      <c r="H2077" s="141"/>
      <c r="J2077" s="139"/>
    </row>
    <row r="2078" spans="3:10" ht="15" customHeight="1">
      <c r="C2078" s="132" t="s">
        <v>2461</v>
      </c>
      <c r="E2078" s="150"/>
      <c r="F2078" s="150"/>
      <c r="G2078" s="138"/>
      <c r="H2078" s="141"/>
      <c r="J2078" s="139"/>
    </row>
    <row r="2079" spans="3:10" ht="15" customHeight="1">
      <c r="C2079" s="132" t="s">
        <v>2461</v>
      </c>
      <c r="E2079" s="150"/>
      <c r="F2079" s="150"/>
      <c r="G2079" s="138">
        <v>5305</v>
      </c>
      <c r="H2079" s="141"/>
      <c r="J2079" s="139">
        <v>60000</v>
      </c>
    </row>
    <row r="2080" spans="3:10" ht="15" customHeight="1">
      <c r="C2080" s="132" t="s">
        <v>2461</v>
      </c>
      <c r="E2080" s="150"/>
      <c r="F2080" s="150"/>
      <c r="G2080" s="138">
        <v>0</v>
      </c>
      <c r="H2080" s="141"/>
      <c r="I2080" s="131" t="s">
        <v>2462</v>
      </c>
      <c r="J2080" s="139">
        <v>0</v>
      </c>
    </row>
    <row r="2081" spans="1:10" ht="15" customHeight="1">
      <c r="E2081" s="154"/>
      <c r="F2081" s="154"/>
      <c r="G2081" s="154"/>
      <c r="H2081" s="154"/>
      <c r="I2081" s="154"/>
      <c r="J2081" s="154"/>
    </row>
    <row r="2082" spans="1:10" ht="15" customHeight="1">
      <c r="F2082" s="134"/>
      <c r="G2082" s="152" t="s">
        <v>2466</v>
      </c>
      <c r="H2082" s="152"/>
      <c r="I2082" s="152"/>
      <c r="J2082" s="153">
        <f>SUM(J2069:J2080)</f>
        <v>60000</v>
      </c>
    </row>
    <row r="2083" spans="1:10" ht="15" customHeight="1">
      <c r="F2083" s="134"/>
      <c r="G2083" s="152"/>
      <c r="H2083" s="152"/>
      <c r="I2083" s="152"/>
      <c r="J2083" s="157"/>
    </row>
    <row r="2084" spans="1:10" ht="15" customHeight="1">
      <c r="F2084" s="134"/>
      <c r="G2084" s="142" t="s">
        <v>2458</v>
      </c>
      <c r="H2084" s="142"/>
      <c r="I2084" s="142"/>
      <c r="J2084" s="156">
        <f>+J2082-J2064+J2066</f>
        <v>0</v>
      </c>
    </row>
    <row r="2089" spans="1:10" ht="15" customHeight="1">
      <c r="F2089" s="1"/>
    </row>
    <row r="2090" spans="1:10" ht="15" customHeight="1">
      <c r="F2090" s="1"/>
    </row>
    <row r="2091" spans="1:10" ht="15" customHeight="1">
      <c r="A2091" s="134"/>
    </row>
    <row r="2092" spans="1:10" ht="15" customHeight="1">
      <c r="A2092" s="134"/>
    </row>
    <row r="2093" spans="1:10" ht="15" customHeight="1">
      <c r="A2093" s="133"/>
    </row>
    <row r="2094" spans="1:10" ht="15" customHeight="1">
      <c r="A2094" s="133"/>
    </row>
    <row r="2095" spans="1:10" ht="15" customHeight="1">
      <c r="F2095" s="151" t="s">
        <v>2580</v>
      </c>
    </row>
    <row r="2096" spans="1:10" ht="15" customHeight="1">
      <c r="A2096" s="133"/>
    </row>
    <row r="2097" spans="1:10" ht="15" customHeight="1">
      <c r="A2097" s="133"/>
      <c r="F2097" s="151" t="s">
        <v>2447</v>
      </c>
    </row>
    <row r="2098" spans="1:10" ht="15" customHeight="1">
      <c r="A2098" s="133"/>
    </row>
    <row r="2099" spans="1:10" ht="15" customHeight="1">
      <c r="A2099" s="142"/>
      <c r="B2099" s="142"/>
      <c r="C2099" s="142"/>
      <c r="D2099" s="142"/>
      <c r="E2099" s="142"/>
      <c r="F2099" s="142"/>
      <c r="G2099" s="142"/>
      <c r="J2099" s="142"/>
    </row>
    <row r="2101" spans="1:10" ht="15" customHeight="1">
      <c r="A2101" s="132" t="s">
        <v>2448</v>
      </c>
      <c r="C2101" s="135" t="s">
        <v>2803</v>
      </c>
      <c r="D2101" s="136"/>
      <c r="E2101" s="137"/>
      <c r="G2101" s="149" t="s">
        <v>2465</v>
      </c>
      <c r="H2101" s="135" t="s">
        <v>2797</v>
      </c>
      <c r="I2101" s="136"/>
      <c r="J2101" s="137"/>
    </row>
    <row r="2103" spans="1:10" ht="15" customHeight="1">
      <c r="A2103" s="134" t="s">
        <v>2456</v>
      </c>
      <c r="C2103" s="135" t="s">
        <v>2668</v>
      </c>
      <c r="D2103" s="136"/>
      <c r="E2103" s="136"/>
      <c r="F2103" s="137"/>
      <c r="I2103" s="149" t="s">
        <v>2464</v>
      </c>
      <c r="J2103" s="150">
        <v>1</v>
      </c>
    </row>
    <row r="2104" spans="1:10" ht="15" customHeight="1">
      <c r="D2104" s="134"/>
    </row>
    <row r="2105" spans="1:10" ht="15" customHeight="1">
      <c r="A2105" s="132" t="s">
        <v>2459</v>
      </c>
      <c r="D2105" s="135" t="s">
        <v>2804</v>
      </c>
      <c r="E2105" s="136"/>
      <c r="F2105" s="136"/>
      <c r="G2105" s="136"/>
      <c r="H2105" s="136"/>
      <c r="I2105" s="136"/>
      <c r="J2105" s="137"/>
    </row>
    <row r="2107" spans="1:10" ht="15" customHeight="1">
      <c r="A2107" s="134" t="s">
        <v>2460</v>
      </c>
    </row>
    <row r="2108" spans="1:10" ht="15" customHeight="1">
      <c r="A2108" s="134"/>
    </row>
    <row r="2109" spans="1:10" ht="15" customHeight="1">
      <c r="A2109" s="130" t="s">
        <v>2805</v>
      </c>
      <c r="B2109" s="129"/>
      <c r="C2109" s="129"/>
      <c r="D2109" s="129"/>
      <c r="E2109" s="129"/>
      <c r="F2109" s="129"/>
      <c r="G2109" s="129"/>
      <c r="H2109" s="129"/>
      <c r="I2109" s="129"/>
      <c r="J2109" s="128"/>
    </row>
    <row r="2110" spans="1:10" ht="15" customHeight="1">
      <c r="A2110" s="127" t="s">
        <v>2806</v>
      </c>
      <c r="B2110" s="143"/>
      <c r="C2110" s="143"/>
      <c r="D2110" s="143"/>
      <c r="E2110" s="143"/>
      <c r="F2110" s="143"/>
      <c r="G2110" s="143"/>
      <c r="H2110" s="143"/>
      <c r="I2110" s="143"/>
      <c r="J2110" s="144"/>
    </row>
    <row r="2111" spans="1:10" ht="15" customHeight="1">
      <c r="A2111" s="127" t="s">
        <v>2807</v>
      </c>
      <c r="B2111" s="143"/>
      <c r="C2111" s="143"/>
      <c r="D2111" s="143"/>
      <c r="E2111" s="143"/>
      <c r="F2111" s="143"/>
      <c r="G2111" s="143"/>
      <c r="H2111" s="143"/>
      <c r="I2111" s="143"/>
      <c r="J2111" s="144"/>
    </row>
    <row r="2112" spans="1:10" ht="15" customHeight="1">
      <c r="A2112" s="127"/>
      <c r="B2112" s="143"/>
      <c r="C2112" s="143"/>
      <c r="D2112" s="143"/>
      <c r="E2112" s="143"/>
      <c r="F2112" s="143"/>
      <c r="G2112" s="143"/>
      <c r="H2112" s="143"/>
      <c r="I2112" s="143"/>
      <c r="J2112" s="144"/>
    </row>
    <row r="2113" spans="1:10" ht="15" customHeight="1">
      <c r="A2113" s="127"/>
      <c r="B2113" s="143"/>
      <c r="C2113" s="143"/>
      <c r="D2113" s="143"/>
      <c r="E2113" s="143"/>
      <c r="F2113" s="143"/>
      <c r="G2113" s="143"/>
      <c r="H2113" s="143"/>
      <c r="I2113" s="143"/>
      <c r="J2113" s="144"/>
    </row>
    <row r="2114" spans="1:10" ht="15" customHeight="1">
      <c r="A2114" s="127"/>
      <c r="B2114" s="143"/>
      <c r="C2114" s="143"/>
      <c r="D2114" s="143"/>
      <c r="E2114" s="143"/>
      <c r="F2114" s="143"/>
      <c r="G2114" s="143"/>
      <c r="H2114" s="143"/>
      <c r="I2114" s="143"/>
      <c r="J2114" s="144"/>
    </row>
    <row r="2115" spans="1:10" ht="15" customHeight="1">
      <c r="A2115" s="127"/>
      <c r="B2115" s="143"/>
      <c r="C2115" s="143"/>
      <c r="D2115" s="143"/>
      <c r="E2115" s="143"/>
      <c r="F2115" s="143"/>
      <c r="G2115" s="143"/>
      <c r="H2115" s="143"/>
      <c r="I2115" s="143"/>
      <c r="J2115" s="144"/>
    </row>
    <row r="2116" spans="1:10" ht="15" customHeight="1">
      <c r="A2116" s="127"/>
      <c r="B2116" s="143"/>
      <c r="C2116" s="143"/>
      <c r="D2116" s="143"/>
      <c r="E2116" s="143"/>
      <c r="F2116" s="143"/>
      <c r="G2116" s="143"/>
      <c r="H2116" s="143"/>
      <c r="I2116" s="143"/>
      <c r="J2116" s="144"/>
    </row>
    <row r="2117" spans="1:10" ht="15" customHeight="1">
      <c r="A2117" s="145"/>
      <c r="B2117" s="143"/>
      <c r="C2117" s="143"/>
      <c r="D2117" s="143"/>
      <c r="E2117" s="143"/>
      <c r="F2117" s="143"/>
      <c r="G2117" s="143"/>
      <c r="H2117" s="143"/>
      <c r="I2117" s="143"/>
      <c r="J2117" s="144"/>
    </row>
    <row r="2118" spans="1:10" ht="15" customHeight="1">
      <c r="A2118" s="127"/>
      <c r="B2118" s="143"/>
      <c r="C2118" s="143"/>
      <c r="D2118" s="143"/>
      <c r="E2118" s="143"/>
      <c r="F2118" s="143"/>
      <c r="G2118" s="143"/>
      <c r="H2118" s="143"/>
      <c r="I2118" s="143"/>
      <c r="J2118" s="144"/>
    </row>
    <row r="2119" spans="1:10" ht="15" customHeight="1">
      <c r="A2119" s="146"/>
      <c r="B2119" s="147"/>
      <c r="C2119" s="147"/>
      <c r="D2119" s="147"/>
      <c r="E2119" s="147"/>
      <c r="F2119" s="147"/>
      <c r="G2119" s="147"/>
      <c r="H2119" s="147"/>
      <c r="I2119" s="147"/>
      <c r="J2119" s="148"/>
    </row>
    <row r="2121" spans="1:10" ht="15" customHeight="1">
      <c r="F2121" s="134"/>
      <c r="G2121" s="152" t="s">
        <v>2449</v>
      </c>
      <c r="H2121" s="152"/>
      <c r="I2121" s="152"/>
      <c r="J2121" s="155">
        <v>10000</v>
      </c>
    </row>
    <row r="2122" spans="1:10" ht="15" customHeight="1">
      <c r="F2122" s="134"/>
      <c r="G2122" s="132" t="s">
        <v>2463</v>
      </c>
      <c r="J2122" s="139">
        <v>0</v>
      </c>
    </row>
    <row r="2123" spans="1:10" ht="15" customHeight="1">
      <c r="F2123" s="134"/>
      <c r="G2123" s="132" t="s">
        <v>2450</v>
      </c>
      <c r="J2123" s="140">
        <v>0</v>
      </c>
    </row>
    <row r="2125" spans="1:10" ht="15" customHeight="1">
      <c r="E2125" s="1" t="s">
        <v>2451</v>
      </c>
      <c r="F2125" s="1" t="s">
        <v>2452</v>
      </c>
      <c r="G2125" s="132" t="s">
        <v>2453</v>
      </c>
      <c r="J2125" s="1" t="s">
        <v>2454</v>
      </c>
    </row>
    <row r="2126" spans="1:10" ht="15" customHeight="1">
      <c r="C2126" s="132" t="s">
        <v>2461</v>
      </c>
      <c r="E2126" s="150"/>
      <c r="F2126" s="150"/>
      <c r="G2126" s="138"/>
      <c r="H2126" s="141"/>
      <c r="J2126" s="139"/>
    </row>
    <row r="2127" spans="1:10" ht="15" customHeight="1">
      <c r="C2127" s="132" t="s">
        <v>2461</v>
      </c>
      <c r="E2127" s="150"/>
      <c r="F2127" s="150"/>
      <c r="G2127" s="138"/>
      <c r="H2127" s="141"/>
      <c r="J2127" s="139"/>
    </row>
    <row r="2128" spans="1:10" ht="15" customHeight="1">
      <c r="C2128" s="132" t="s">
        <v>2461</v>
      </c>
      <c r="E2128" s="150"/>
      <c r="F2128" s="150"/>
      <c r="G2128" s="138"/>
      <c r="H2128" s="141"/>
      <c r="J2128" s="139"/>
    </row>
    <row r="2129" spans="3:10" ht="15" customHeight="1">
      <c r="C2129" s="132" t="s">
        <v>2461</v>
      </c>
      <c r="E2129" s="150"/>
      <c r="F2129" s="150"/>
      <c r="G2129" s="138"/>
      <c r="H2129" s="141"/>
      <c r="J2129" s="139"/>
    </row>
    <row r="2130" spans="3:10" ht="15" customHeight="1">
      <c r="C2130" s="132" t="s">
        <v>2461</v>
      </c>
      <c r="E2130" s="150"/>
      <c r="F2130" s="150"/>
      <c r="G2130" s="138"/>
      <c r="H2130" s="141"/>
      <c r="J2130" s="139"/>
    </row>
    <row r="2131" spans="3:10" ht="15" customHeight="1">
      <c r="C2131" s="132" t="s">
        <v>2461</v>
      </c>
      <c r="E2131" s="150"/>
      <c r="F2131" s="150"/>
      <c r="G2131" s="138"/>
      <c r="H2131" s="141"/>
      <c r="J2131" s="139"/>
    </row>
    <row r="2132" spans="3:10" ht="15" customHeight="1">
      <c r="C2132" s="132" t="s">
        <v>2461</v>
      </c>
      <c r="E2132" s="150"/>
      <c r="F2132" s="150"/>
      <c r="G2132" s="138"/>
      <c r="H2132" s="141"/>
      <c r="J2132" s="139"/>
    </row>
    <row r="2133" spans="3:10" ht="15" customHeight="1">
      <c r="C2133" s="132" t="s">
        <v>2461</v>
      </c>
      <c r="E2133" s="150"/>
      <c r="F2133" s="150"/>
      <c r="G2133" s="138"/>
      <c r="H2133" s="141"/>
      <c r="J2133" s="139"/>
    </row>
    <row r="2134" spans="3:10" ht="15" customHeight="1">
      <c r="C2134" s="132" t="s">
        <v>2461</v>
      </c>
      <c r="E2134" s="150"/>
      <c r="F2134" s="150"/>
      <c r="G2134" s="138"/>
      <c r="H2134" s="141"/>
      <c r="J2134" s="139"/>
    </row>
    <row r="2135" spans="3:10" ht="15" customHeight="1">
      <c r="C2135" s="132" t="s">
        <v>2461</v>
      </c>
      <c r="E2135" s="150"/>
      <c r="F2135" s="150"/>
      <c r="G2135" s="138"/>
      <c r="H2135" s="141"/>
      <c r="J2135" s="139"/>
    </row>
    <row r="2136" spans="3:10" ht="15" customHeight="1">
      <c r="C2136" s="132" t="s">
        <v>2461</v>
      </c>
      <c r="E2136" s="150"/>
      <c r="F2136" s="150"/>
      <c r="G2136" s="138">
        <v>5485</v>
      </c>
      <c r="H2136" s="141"/>
      <c r="J2136" s="139">
        <v>10000</v>
      </c>
    </row>
    <row r="2137" spans="3:10" ht="15" customHeight="1">
      <c r="C2137" s="132" t="s">
        <v>2461</v>
      </c>
      <c r="E2137" s="150"/>
      <c r="F2137" s="150"/>
      <c r="G2137" s="138"/>
      <c r="H2137" s="141"/>
      <c r="I2137" s="131" t="s">
        <v>2462</v>
      </c>
      <c r="J2137" s="139"/>
    </row>
    <row r="2138" spans="3:10" ht="15" customHeight="1">
      <c r="E2138" s="154"/>
      <c r="F2138" s="154"/>
      <c r="G2138" s="154"/>
      <c r="H2138" s="154"/>
      <c r="I2138" s="154"/>
      <c r="J2138" s="154"/>
    </row>
    <row r="2139" spans="3:10" ht="15" customHeight="1">
      <c r="F2139" s="134"/>
      <c r="G2139" s="152" t="s">
        <v>2466</v>
      </c>
      <c r="H2139" s="152"/>
      <c r="I2139" s="152"/>
      <c r="J2139" s="153">
        <f>SUM(J2126:J2137)</f>
        <v>10000</v>
      </c>
    </row>
    <row r="2140" spans="3:10" ht="15" customHeight="1">
      <c r="F2140" s="134"/>
      <c r="G2140" s="152"/>
      <c r="H2140" s="152"/>
      <c r="I2140" s="152"/>
      <c r="J2140" s="157"/>
    </row>
    <row r="2141" spans="3:10" ht="15" customHeight="1">
      <c r="F2141" s="134"/>
      <c r="G2141" s="142" t="s">
        <v>2458</v>
      </c>
      <c r="H2141" s="142"/>
      <c r="I2141" s="142"/>
      <c r="J2141" s="156">
        <f>+J2139-J2121+J2123</f>
        <v>0</v>
      </c>
    </row>
    <row r="2143" spans="3:10" ht="15" customHeight="1">
      <c r="F2143" s="1"/>
    </row>
    <row r="2144" spans="3:10" ht="15" customHeight="1">
      <c r="F2144" s="1"/>
    </row>
    <row r="2145" spans="1:10" ht="15" customHeight="1">
      <c r="A2145" s="134"/>
    </row>
    <row r="2146" spans="1:10" ht="15" customHeight="1">
      <c r="A2146" s="134"/>
    </row>
    <row r="2147" spans="1:10" ht="15" customHeight="1">
      <c r="A2147" s="133"/>
    </row>
    <row r="2148" spans="1:10" ht="15" customHeight="1">
      <c r="A2148" s="133"/>
    </row>
    <row r="2149" spans="1:10" ht="15" customHeight="1">
      <c r="F2149" s="151" t="s">
        <v>2580</v>
      </c>
    </row>
    <row r="2150" spans="1:10" ht="15" customHeight="1">
      <c r="A2150" s="133"/>
    </row>
    <row r="2151" spans="1:10" ht="15" customHeight="1">
      <c r="A2151" s="133"/>
      <c r="F2151" s="151" t="s">
        <v>2447</v>
      </c>
    </row>
    <row r="2152" spans="1:10" ht="15" customHeight="1">
      <c r="A2152" s="133"/>
    </row>
    <row r="2153" spans="1:10" ht="15" customHeight="1">
      <c r="A2153" s="142"/>
      <c r="B2153" s="142"/>
      <c r="C2153" s="142"/>
      <c r="D2153" s="142"/>
      <c r="E2153" s="142"/>
      <c r="F2153" s="142"/>
      <c r="G2153" s="142"/>
      <c r="J2153" s="142"/>
    </row>
    <row r="2155" spans="1:10" ht="15" customHeight="1">
      <c r="A2155" s="132" t="s">
        <v>2448</v>
      </c>
      <c r="C2155" s="135" t="s">
        <v>2769</v>
      </c>
      <c r="D2155" s="136"/>
      <c r="E2155" s="137"/>
      <c r="G2155" s="149" t="s">
        <v>2465</v>
      </c>
      <c r="H2155" s="135" t="s">
        <v>2887</v>
      </c>
      <c r="I2155" s="136"/>
      <c r="J2155" s="137"/>
    </row>
    <row r="2157" spans="1:10" ht="15" customHeight="1">
      <c r="A2157" s="134" t="s">
        <v>2456</v>
      </c>
      <c r="C2157" s="135" t="s">
        <v>2888</v>
      </c>
      <c r="D2157" s="136"/>
      <c r="E2157" s="136"/>
      <c r="F2157" s="137"/>
      <c r="I2157" s="149" t="s">
        <v>2464</v>
      </c>
      <c r="J2157" s="150">
        <v>1</v>
      </c>
    </row>
    <row r="2158" spans="1:10" ht="15" customHeight="1">
      <c r="D2158" s="134"/>
    </row>
    <row r="2159" spans="1:10" ht="15" customHeight="1">
      <c r="A2159" s="132" t="s">
        <v>2459</v>
      </c>
      <c r="D2159" s="135" t="s">
        <v>2889</v>
      </c>
      <c r="E2159" s="136"/>
      <c r="F2159" s="136"/>
      <c r="G2159" s="136"/>
      <c r="H2159" s="136"/>
      <c r="I2159" s="136"/>
      <c r="J2159" s="137"/>
    </row>
    <row r="2161" spans="1:10" ht="15" customHeight="1">
      <c r="A2161" s="134" t="s">
        <v>2460</v>
      </c>
    </row>
    <row r="2162" spans="1:10" ht="15" customHeight="1">
      <c r="A2162" s="134"/>
    </row>
    <row r="2163" spans="1:10" ht="15" customHeight="1">
      <c r="A2163" s="130" t="s">
        <v>2890</v>
      </c>
      <c r="B2163" s="129"/>
      <c r="C2163" s="129"/>
      <c r="D2163" s="129"/>
      <c r="E2163" s="129"/>
      <c r="F2163" s="129"/>
      <c r="G2163" s="129"/>
      <c r="H2163" s="129"/>
      <c r="I2163" s="129"/>
      <c r="J2163" s="128"/>
    </row>
    <row r="2164" spans="1:10" ht="15" customHeight="1">
      <c r="A2164" s="127" t="s">
        <v>2891</v>
      </c>
      <c r="B2164" s="143"/>
      <c r="C2164" s="143"/>
      <c r="D2164" s="143"/>
      <c r="E2164" s="143"/>
      <c r="F2164" s="143"/>
      <c r="G2164" s="143"/>
      <c r="H2164" s="143"/>
      <c r="I2164" s="143"/>
      <c r="J2164" s="144"/>
    </row>
    <row r="2165" spans="1:10" ht="15" customHeight="1">
      <c r="A2165" s="127" t="s">
        <v>2892</v>
      </c>
      <c r="B2165" s="143"/>
      <c r="C2165" s="143"/>
      <c r="D2165" s="143"/>
      <c r="E2165" s="143"/>
      <c r="F2165" s="143"/>
      <c r="G2165" s="143"/>
      <c r="H2165" s="143"/>
      <c r="I2165" s="143"/>
      <c r="J2165" s="144"/>
    </row>
    <row r="2166" spans="1:10" ht="15" customHeight="1">
      <c r="A2166" s="127" t="s">
        <v>2893</v>
      </c>
      <c r="B2166" s="143"/>
      <c r="C2166" s="143"/>
      <c r="D2166" s="143"/>
      <c r="E2166" s="143"/>
      <c r="F2166" s="143"/>
      <c r="G2166" s="143"/>
      <c r="H2166" s="143"/>
      <c r="I2166" s="143"/>
      <c r="J2166" s="144"/>
    </row>
    <row r="2167" spans="1:10" ht="15" customHeight="1">
      <c r="A2167" s="127" t="s">
        <v>2894</v>
      </c>
      <c r="B2167" s="143"/>
      <c r="C2167" s="143"/>
      <c r="D2167" s="143"/>
      <c r="E2167" s="143"/>
      <c r="F2167" s="143"/>
      <c r="G2167" s="143"/>
      <c r="H2167" s="143"/>
      <c r="I2167" s="143"/>
      <c r="J2167" s="144"/>
    </row>
    <row r="2168" spans="1:10" ht="15" customHeight="1">
      <c r="A2168" s="127" t="s">
        <v>2895</v>
      </c>
      <c r="B2168" s="143"/>
      <c r="C2168" s="143"/>
      <c r="D2168" s="143"/>
      <c r="E2168" s="143"/>
      <c r="F2168" s="143"/>
      <c r="G2168" s="143"/>
      <c r="H2168" s="143"/>
      <c r="I2168" s="143"/>
      <c r="J2168" s="144"/>
    </row>
    <row r="2169" spans="1:10" ht="15" customHeight="1">
      <c r="A2169" s="127"/>
      <c r="B2169" s="143"/>
      <c r="C2169" s="143"/>
      <c r="D2169" s="143"/>
      <c r="E2169" s="143"/>
      <c r="F2169" s="143"/>
      <c r="G2169" s="143"/>
      <c r="H2169" s="143"/>
      <c r="I2169" s="143"/>
      <c r="J2169" s="144"/>
    </row>
    <row r="2170" spans="1:10" ht="15" customHeight="1">
      <c r="A2170" s="127"/>
      <c r="B2170" s="143"/>
      <c r="C2170" s="143"/>
      <c r="D2170" s="143"/>
      <c r="E2170" s="143"/>
      <c r="F2170" s="143"/>
      <c r="G2170" s="143"/>
      <c r="H2170" s="143"/>
      <c r="I2170" s="143"/>
      <c r="J2170" s="144"/>
    </row>
    <row r="2171" spans="1:10" ht="15" customHeight="1">
      <c r="A2171" s="145"/>
      <c r="B2171" s="143"/>
      <c r="C2171" s="143"/>
      <c r="D2171" s="143"/>
      <c r="E2171" s="143"/>
      <c r="F2171" s="143"/>
      <c r="G2171" s="143"/>
      <c r="H2171" s="143"/>
      <c r="I2171" s="143"/>
      <c r="J2171" s="144"/>
    </row>
    <row r="2172" spans="1:10" ht="15" customHeight="1">
      <c r="A2172" s="127"/>
      <c r="B2172" s="143"/>
      <c r="C2172" s="143"/>
      <c r="D2172" s="143"/>
      <c r="E2172" s="143"/>
      <c r="F2172" s="143"/>
      <c r="G2172" s="143"/>
      <c r="H2172" s="143"/>
      <c r="I2172" s="143"/>
      <c r="J2172" s="144"/>
    </row>
    <row r="2173" spans="1:10" ht="15" customHeight="1">
      <c r="A2173" s="146"/>
      <c r="B2173" s="147"/>
      <c r="C2173" s="147"/>
      <c r="D2173" s="147"/>
      <c r="E2173" s="147"/>
      <c r="F2173" s="147"/>
      <c r="G2173" s="147"/>
      <c r="H2173" s="147"/>
      <c r="I2173" s="147"/>
      <c r="J2173" s="148"/>
    </row>
    <row r="2175" spans="1:10" ht="15" customHeight="1">
      <c r="F2175" s="134"/>
      <c r="G2175" s="152" t="s">
        <v>2449</v>
      </c>
      <c r="H2175" s="152"/>
      <c r="I2175" s="152"/>
      <c r="J2175" s="155">
        <v>26529</v>
      </c>
    </row>
    <row r="2176" spans="1:10" ht="15" customHeight="1">
      <c r="F2176" s="134"/>
      <c r="G2176" s="132" t="s">
        <v>2463</v>
      </c>
      <c r="J2176" s="139">
        <v>-5000</v>
      </c>
    </row>
    <row r="2177" spans="3:10" ht="15" customHeight="1">
      <c r="F2177" s="134"/>
      <c r="G2177" s="132" t="s">
        <v>2450</v>
      </c>
      <c r="J2177" s="140">
        <f>+J2176+J2175</f>
        <v>21529</v>
      </c>
    </row>
    <row r="2179" spans="3:10" ht="15" customHeight="1">
      <c r="E2179" s="1" t="s">
        <v>2451</v>
      </c>
      <c r="F2179" s="1" t="s">
        <v>2452</v>
      </c>
      <c r="G2179" s="132" t="s">
        <v>2453</v>
      </c>
      <c r="J2179" s="1" t="s">
        <v>2454</v>
      </c>
    </row>
    <row r="2180" spans="3:10" ht="15" customHeight="1">
      <c r="C2180" s="132" t="s">
        <v>2461</v>
      </c>
      <c r="E2180" s="150">
        <v>20</v>
      </c>
      <c r="F2180" s="150">
        <v>5250</v>
      </c>
      <c r="G2180" s="138">
        <v>5565</v>
      </c>
      <c r="H2180" s="141"/>
      <c r="J2180" s="139">
        <f>+J2175</f>
        <v>26529</v>
      </c>
    </row>
    <row r="2181" spans="3:10" ht="15" customHeight="1">
      <c r="C2181" s="132" t="s">
        <v>2461</v>
      </c>
      <c r="E2181" s="150"/>
      <c r="F2181" s="150"/>
      <c r="G2181" s="138"/>
      <c r="H2181" s="141"/>
      <c r="J2181" s="139"/>
    </row>
    <row r="2182" spans="3:10" ht="15" customHeight="1">
      <c r="C2182" s="132" t="s">
        <v>2461</v>
      </c>
      <c r="E2182" s="150"/>
      <c r="F2182" s="150"/>
      <c r="G2182" s="138"/>
      <c r="H2182" s="141"/>
      <c r="J2182" s="139"/>
    </row>
    <row r="2183" spans="3:10" ht="15" customHeight="1">
      <c r="C2183" s="132" t="s">
        <v>2461</v>
      </c>
      <c r="E2183" s="150"/>
      <c r="F2183" s="150"/>
      <c r="G2183" s="138"/>
      <c r="H2183" s="141"/>
      <c r="J2183" s="139"/>
    </row>
    <row r="2184" spans="3:10" ht="15" customHeight="1">
      <c r="C2184" s="132" t="s">
        <v>2461</v>
      </c>
      <c r="E2184" s="150"/>
      <c r="F2184" s="150"/>
      <c r="G2184" s="138"/>
      <c r="H2184" s="141"/>
      <c r="J2184" s="139"/>
    </row>
    <row r="2185" spans="3:10" ht="15" customHeight="1">
      <c r="C2185" s="132" t="s">
        <v>2461</v>
      </c>
      <c r="E2185" s="150"/>
      <c r="F2185" s="150"/>
      <c r="G2185" s="138"/>
      <c r="H2185" s="141"/>
      <c r="J2185" s="139"/>
    </row>
    <row r="2186" spans="3:10" ht="15" customHeight="1">
      <c r="C2186" s="132" t="s">
        <v>2461</v>
      </c>
      <c r="E2186" s="150"/>
      <c r="F2186" s="150"/>
      <c r="G2186" s="138"/>
      <c r="H2186" s="141"/>
      <c r="J2186" s="139"/>
    </row>
    <row r="2187" spans="3:10" ht="15" customHeight="1">
      <c r="C2187" s="132" t="s">
        <v>2461</v>
      </c>
      <c r="E2187" s="150"/>
      <c r="F2187" s="150"/>
      <c r="G2187" s="138"/>
      <c r="H2187" s="141"/>
      <c r="J2187" s="139"/>
    </row>
    <row r="2188" spans="3:10" ht="15" customHeight="1">
      <c r="C2188" s="132" t="s">
        <v>2461</v>
      </c>
      <c r="E2188" s="150"/>
      <c r="F2188" s="150"/>
      <c r="G2188" s="138"/>
      <c r="H2188" s="141"/>
      <c r="J2188" s="139"/>
    </row>
    <row r="2189" spans="3:10" ht="15" customHeight="1">
      <c r="C2189" s="132" t="s">
        <v>2461</v>
      </c>
      <c r="E2189" s="150"/>
      <c r="F2189" s="150"/>
      <c r="G2189" s="138"/>
      <c r="H2189" s="141"/>
      <c r="J2189" s="139"/>
    </row>
    <row r="2190" spans="3:10" ht="15" customHeight="1">
      <c r="C2190" s="132" t="s">
        <v>2461</v>
      </c>
      <c r="E2190" s="150"/>
      <c r="F2190" s="150"/>
      <c r="G2190" s="138"/>
      <c r="H2190" s="141"/>
      <c r="J2190" s="139"/>
    </row>
    <row r="2191" spans="3:10" ht="15" customHeight="1">
      <c r="C2191" s="132" t="s">
        <v>2461</v>
      </c>
      <c r="E2191" s="150">
        <v>20</v>
      </c>
      <c r="F2191" s="150">
        <v>5250</v>
      </c>
      <c r="G2191" s="138" t="s">
        <v>2455</v>
      </c>
      <c r="H2191" s="141"/>
      <c r="J2191" s="139">
        <f>-J2177</f>
        <v>-21529</v>
      </c>
    </row>
    <row r="2192" spans="3:10" ht="15" customHeight="1">
      <c r="E2192" s="154"/>
      <c r="F2192" s="154"/>
      <c r="G2192" s="154"/>
      <c r="H2192" s="154"/>
      <c r="I2192" s="154"/>
      <c r="J2192" s="154"/>
    </row>
    <row r="2193" spans="1:10" ht="15" customHeight="1">
      <c r="F2193" s="134"/>
      <c r="G2193" s="152" t="s">
        <v>2466</v>
      </c>
      <c r="H2193" s="152"/>
      <c r="I2193" s="152"/>
      <c r="J2193" s="153">
        <f>SUM(J2180:J2191)</f>
        <v>5000</v>
      </c>
    </row>
    <row r="2194" spans="1:10" ht="15" customHeight="1">
      <c r="F2194" s="134"/>
      <c r="G2194" s="152"/>
      <c r="H2194" s="152"/>
      <c r="I2194" s="152"/>
      <c r="J2194" s="157"/>
    </row>
    <row r="2195" spans="1:10" ht="15" customHeight="1">
      <c r="F2195" s="134"/>
      <c r="G2195" s="142" t="s">
        <v>2458</v>
      </c>
      <c r="H2195" s="142"/>
      <c r="I2195" s="142"/>
      <c r="J2195" s="156">
        <f>+J2193-J2175+J2177</f>
        <v>0</v>
      </c>
    </row>
    <row r="2197" spans="1:10" ht="15" customHeight="1">
      <c r="F2197" s="1"/>
    </row>
    <row r="2198" spans="1:10" ht="15" customHeight="1">
      <c r="F2198" s="1"/>
    </row>
    <row r="2199" spans="1:10" ht="15" customHeight="1">
      <c r="A2199" s="134"/>
    </row>
    <row r="2200" spans="1:10" ht="15" customHeight="1">
      <c r="A2200" s="134"/>
    </row>
    <row r="2201" spans="1:10" ht="15" customHeight="1">
      <c r="A2201" s="133"/>
    </row>
    <row r="2202" spans="1:10" ht="15" customHeight="1">
      <c r="A2202" s="133"/>
    </row>
    <row r="2203" spans="1:10" ht="15" customHeight="1">
      <c r="F2203" s="151" t="s">
        <v>2580</v>
      </c>
    </row>
    <row r="2204" spans="1:10" ht="15" customHeight="1">
      <c r="A2204" s="133"/>
    </row>
    <row r="2205" spans="1:10" ht="15" customHeight="1">
      <c r="A2205" s="133"/>
      <c r="F2205" s="151" t="s">
        <v>2447</v>
      </c>
    </row>
    <row r="2206" spans="1:10" ht="15" customHeight="1">
      <c r="A2206" s="133"/>
    </row>
    <row r="2207" spans="1:10" ht="15" customHeight="1">
      <c r="A2207" s="142"/>
      <c r="B2207" s="142"/>
      <c r="C2207" s="142"/>
      <c r="D2207" s="142"/>
      <c r="E2207" s="142"/>
      <c r="F2207" s="142"/>
      <c r="G2207" s="142"/>
      <c r="J2207" s="142"/>
    </row>
    <row r="2209" spans="1:10" ht="15" customHeight="1">
      <c r="A2209" s="132" t="s">
        <v>2448</v>
      </c>
      <c r="C2209" s="135" t="s">
        <v>2769</v>
      </c>
      <c r="D2209" s="136"/>
      <c r="E2209" s="137"/>
      <c r="G2209" s="149" t="s">
        <v>2465</v>
      </c>
      <c r="H2209" s="135" t="s">
        <v>2887</v>
      </c>
      <c r="I2209" s="136"/>
      <c r="J2209" s="137"/>
    </row>
    <row r="2211" spans="1:10" ht="15" customHeight="1">
      <c r="A2211" s="134" t="s">
        <v>2456</v>
      </c>
      <c r="C2211" s="135" t="s">
        <v>2888</v>
      </c>
      <c r="D2211" s="136"/>
      <c r="E2211" s="136"/>
      <c r="F2211" s="137"/>
      <c r="I2211" s="149" t="s">
        <v>2464</v>
      </c>
      <c r="J2211" s="150">
        <v>1</v>
      </c>
    </row>
    <row r="2212" spans="1:10" ht="15" customHeight="1">
      <c r="D2212" s="134"/>
    </row>
    <row r="2213" spans="1:10" ht="15" customHeight="1">
      <c r="A2213" s="132" t="s">
        <v>2459</v>
      </c>
      <c r="D2213" s="135" t="s">
        <v>2896</v>
      </c>
      <c r="E2213" s="136"/>
      <c r="F2213" s="136"/>
      <c r="G2213" s="136"/>
      <c r="H2213" s="136"/>
      <c r="I2213" s="136"/>
      <c r="J2213" s="137"/>
    </row>
    <row r="2215" spans="1:10" ht="15" customHeight="1">
      <c r="A2215" s="134" t="s">
        <v>2460</v>
      </c>
    </row>
    <row r="2216" spans="1:10" ht="15" customHeight="1">
      <c r="A2216" s="134"/>
    </row>
    <row r="2217" spans="1:10" ht="15" customHeight="1">
      <c r="A2217" s="130" t="s">
        <v>2897</v>
      </c>
      <c r="B2217" s="129"/>
      <c r="C2217" s="129"/>
      <c r="D2217" s="129"/>
      <c r="E2217" s="129"/>
      <c r="F2217" s="129"/>
      <c r="G2217" s="129"/>
      <c r="H2217" s="129"/>
      <c r="I2217" s="129"/>
      <c r="J2217" s="128"/>
    </row>
    <row r="2218" spans="1:10" ht="15" customHeight="1">
      <c r="A2218" s="127" t="s">
        <v>2898</v>
      </c>
      <c r="B2218" s="143"/>
      <c r="C2218" s="143"/>
      <c r="D2218" s="143"/>
      <c r="E2218" s="143"/>
      <c r="F2218" s="143"/>
      <c r="G2218" s="143"/>
      <c r="H2218" s="143"/>
      <c r="I2218" s="143"/>
      <c r="J2218" s="144"/>
    </row>
    <row r="2219" spans="1:10" ht="15" customHeight="1">
      <c r="A2219" s="127"/>
      <c r="B2219" s="143"/>
      <c r="C2219" s="143"/>
      <c r="D2219" s="143"/>
      <c r="E2219" s="143"/>
      <c r="F2219" s="143"/>
      <c r="G2219" s="143"/>
      <c r="H2219" s="143"/>
      <c r="I2219" s="143"/>
      <c r="J2219" s="144"/>
    </row>
    <row r="2220" spans="1:10" ht="15" customHeight="1">
      <c r="A2220" s="127"/>
      <c r="B2220" s="143"/>
      <c r="C2220" s="143"/>
      <c r="D2220" s="143"/>
      <c r="E2220" s="143"/>
      <c r="F2220" s="143"/>
      <c r="G2220" s="143"/>
      <c r="H2220" s="143"/>
      <c r="I2220" s="143"/>
      <c r="J2220" s="144"/>
    </row>
    <row r="2221" spans="1:10" ht="15" customHeight="1">
      <c r="A2221" s="127"/>
      <c r="B2221" s="143"/>
      <c r="C2221" s="143"/>
      <c r="D2221" s="143"/>
      <c r="E2221" s="143"/>
      <c r="F2221" s="143"/>
      <c r="G2221" s="143"/>
      <c r="H2221" s="143"/>
      <c r="I2221" s="143"/>
      <c r="J2221" s="144"/>
    </row>
    <row r="2222" spans="1:10" ht="15" customHeight="1">
      <c r="A2222" s="127"/>
      <c r="B2222" s="143"/>
      <c r="C2222" s="143"/>
      <c r="D2222" s="143"/>
      <c r="E2222" s="143"/>
      <c r="F2222" s="143"/>
      <c r="G2222" s="143"/>
      <c r="H2222" s="143"/>
      <c r="I2222" s="143"/>
      <c r="J2222" s="144"/>
    </row>
    <row r="2223" spans="1:10" ht="15" customHeight="1">
      <c r="A2223" s="127"/>
      <c r="B2223" s="143"/>
      <c r="C2223" s="143"/>
      <c r="D2223" s="143"/>
      <c r="E2223" s="143"/>
      <c r="F2223" s="143"/>
      <c r="G2223" s="143"/>
      <c r="H2223" s="143"/>
      <c r="I2223" s="143"/>
      <c r="J2223" s="144"/>
    </row>
    <row r="2224" spans="1:10" ht="15" customHeight="1">
      <c r="A2224" s="127"/>
      <c r="B2224" s="143"/>
      <c r="C2224" s="143"/>
      <c r="D2224" s="143"/>
      <c r="E2224" s="143"/>
      <c r="F2224" s="143"/>
      <c r="G2224" s="143"/>
      <c r="H2224" s="143"/>
      <c r="I2224" s="143"/>
      <c r="J2224" s="144"/>
    </row>
    <row r="2225" spans="1:10" ht="15" customHeight="1">
      <c r="A2225" s="145"/>
      <c r="B2225" s="143"/>
      <c r="C2225" s="143"/>
      <c r="D2225" s="143"/>
      <c r="E2225" s="143"/>
      <c r="F2225" s="143"/>
      <c r="G2225" s="143"/>
      <c r="H2225" s="143"/>
      <c r="I2225" s="143"/>
      <c r="J2225" s="144"/>
    </row>
    <row r="2226" spans="1:10" ht="15" customHeight="1">
      <c r="A2226" s="127"/>
      <c r="B2226" s="143"/>
      <c r="C2226" s="143"/>
      <c r="D2226" s="143"/>
      <c r="E2226" s="143"/>
      <c r="F2226" s="143"/>
      <c r="G2226" s="143"/>
      <c r="H2226" s="143"/>
      <c r="I2226" s="143"/>
      <c r="J2226" s="144"/>
    </row>
    <row r="2227" spans="1:10" ht="15" customHeight="1">
      <c r="A2227" s="146"/>
      <c r="B2227" s="147"/>
      <c r="C2227" s="147"/>
      <c r="D2227" s="147"/>
      <c r="E2227" s="147"/>
      <c r="F2227" s="147"/>
      <c r="G2227" s="147"/>
      <c r="H2227" s="147"/>
      <c r="I2227" s="147"/>
      <c r="J2227" s="148"/>
    </row>
    <row r="2229" spans="1:10" ht="15" customHeight="1">
      <c r="F2229" s="134"/>
      <c r="G2229" s="152" t="s">
        <v>2449</v>
      </c>
      <c r="H2229" s="152"/>
      <c r="I2229" s="152"/>
      <c r="J2229" s="155">
        <v>4800</v>
      </c>
    </row>
    <row r="2230" spans="1:10" ht="15" customHeight="1">
      <c r="F2230" s="134"/>
      <c r="G2230" s="132" t="s">
        <v>2463</v>
      </c>
      <c r="J2230" s="139">
        <f>-0.2*J2229</f>
        <v>-960</v>
      </c>
    </row>
    <row r="2231" spans="1:10" ht="15" customHeight="1">
      <c r="F2231" s="134"/>
      <c r="G2231" s="132" t="s">
        <v>2450</v>
      </c>
      <c r="J2231" s="140">
        <f>+J2230+J2229</f>
        <v>3840</v>
      </c>
    </row>
    <row r="2233" spans="1:10" ht="15" customHeight="1">
      <c r="E2233" s="1" t="s">
        <v>2451</v>
      </c>
      <c r="F2233" s="1" t="s">
        <v>2452</v>
      </c>
      <c r="G2233" s="132" t="s">
        <v>2453</v>
      </c>
      <c r="J2233" s="1" t="s">
        <v>2454</v>
      </c>
    </row>
    <row r="2234" spans="1:10" ht="15" customHeight="1">
      <c r="C2234" s="132" t="s">
        <v>2461</v>
      </c>
      <c r="E2234" s="150">
        <v>20</v>
      </c>
      <c r="F2234" s="150">
        <v>5250</v>
      </c>
      <c r="G2234" s="138">
        <v>5565</v>
      </c>
      <c r="H2234" s="141"/>
      <c r="J2234" s="139">
        <f>+J2229</f>
        <v>4800</v>
      </c>
    </row>
    <row r="2235" spans="1:10" ht="15" customHeight="1">
      <c r="C2235" s="132" t="s">
        <v>2461</v>
      </c>
      <c r="E2235" s="150"/>
      <c r="F2235" s="150"/>
      <c r="G2235" s="138"/>
      <c r="H2235" s="141"/>
      <c r="J2235" s="139"/>
    </row>
    <row r="2236" spans="1:10" ht="15" customHeight="1">
      <c r="C2236" s="132" t="s">
        <v>2461</v>
      </c>
      <c r="E2236" s="150"/>
      <c r="F2236" s="150"/>
      <c r="G2236" s="138"/>
      <c r="H2236" s="141"/>
      <c r="J2236" s="139"/>
    </row>
    <row r="2237" spans="1:10" ht="15" customHeight="1">
      <c r="C2237" s="132" t="s">
        <v>2461</v>
      </c>
      <c r="E2237" s="150"/>
      <c r="F2237" s="150"/>
      <c r="G2237" s="138"/>
      <c r="H2237" s="141"/>
      <c r="J2237" s="139"/>
    </row>
    <row r="2238" spans="1:10" ht="15" customHeight="1">
      <c r="C2238" s="132" t="s">
        <v>2461</v>
      </c>
      <c r="E2238" s="150"/>
      <c r="F2238" s="150"/>
      <c r="G2238" s="138"/>
      <c r="H2238" s="141"/>
      <c r="J2238" s="139"/>
    </row>
    <row r="2239" spans="1:10" ht="15" customHeight="1">
      <c r="C2239" s="132" t="s">
        <v>2461</v>
      </c>
      <c r="E2239" s="150"/>
      <c r="F2239" s="150"/>
      <c r="G2239" s="138"/>
      <c r="H2239" s="141"/>
      <c r="J2239" s="139"/>
    </row>
    <row r="2240" spans="1:10" ht="15" customHeight="1">
      <c r="C2240" s="132" t="s">
        <v>2461</v>
      </c>
      <c r="E2240" s="150"/>
      <c r="F2240" s="150"/>
      <c r="G2240" s="138"/>
      <c r="H2240" s="141"/>
      <c r="J2240" s="139"/>
    </row>
    <row r="2241" spans="1:10" ht="15" customHeight="1">
      <c r="C2241" s="132" t="s">
        <v>2461</v>
      </c>
      <c r="E2241" s="150"/>
      <c r="F2241" s="150"/>
      <c r="G2241" s="138"/>
      <c r="H2241" s="141"/>
      <c r="J2241" s="139"/>
    </row>
    <row r="2242" spans="1:10" ht="15" customHeight="1">
      <c r="C2242" s="132" t="s">
        <v>2461</v>
      </c>
      <c r="E2242" s="150"/>
      <c r="F2242" s="150"/>
      <c r="G2242" s="138"/>
      <c r="H2242" s="141"/>
      <c r="J2242" s="139"/>
    </row>
    <row r="2243" spans="1:10" ht="15" customHeight="1">
      <c r="C2243" s="132" t="s">
        <v>2461</v>
      </c>
      <c r="E2243" s="150"/>
      <c r="F2243" s="150"/>
      <c r="G2243" s="138"/>
      <c r="H2243" s="141"/>
      <c r="J2243" s="139"/>
    </row>
    <row r="2244" spans="1:10" ht="15" customHeight="1">
      <c r="C2244" s="132" t="s">
        <v>2461</v>
      </c>
      <c r="E2244" s="150"/>
      <c r="F2244" s="150"/>
      <c r="G2244" s="138"/>
      <c r="H2244" s="141"/>
      <c r="J2244" s="139"/>
    </row>
    <row r="2245" spans="1:10" ht="15" customHeight="1">
      <c r="C2245" s="132" t="s">
        <v>2461</v>
      </c>
      <c r="E2245" s="150">
        <v>20</v>
      </c>
      <c r="F2245" s="150">
        <v>5250</v>
      </c>
      <c r="G2245" s="138" t="s">
        <v>2455</v>
      </c>
      <c r="H2245" s="141"/>
      <c r="J2245" s="139">
        <f>-J2231</f>
        <v>-3840</v>
      </c>
    </row>
    <row r="2246" spans="1:10" ht="15" customHeight="1">
      <c r="E2246" s="154"/>
      <c r="F2246" s="154"/>
      <c r="G2246" s="154"/>
      <c r="H2246" s="154"/>
      <c r="I2246" s="154"/>
      <c r="J2246" s="154"/>
    </row>
    <row r="2247" spans="1:10" ht="15" customHeight="1">
      <c r="F2247" s="134"/>
      <c r="G2247" s="152" t="s">
        <v>2466</v>
      </c>
      <c r="H2247" s="152"/>
      <c r="I2247" s="152"/>
      <c r="J2247" s="153">
        <f>SUM(J2234:J2245)</f>
        <v>960</v>
      </c>
    </row>
    <row r="2248" spans="1:10" ht="15" customHeight="1">
      <c r="F2248" s="134"/>
      <c r="G2248" s="152"/>
      <c r="H2248" s="152"/>
      <c r="I2248" s="152"/>
      <c r="J2248" s="157"/>
    </row>
    <row r="2249" spans="1:10" ht="15" customHeight="1">
      <c r="F2249" s="134"/>
      <c r="G2249" s="142" t="s">
        <v>2458</v>
      </c>
      <c r="H2249" s="142"/>
      <c r="I2249" s="142"/>
      <c r="J2249" s="156">
        <f>+J2247-J2229+J2231</f>
        <v>0</v>
      </c>
    </row>
    <row r="2251" spans="1:10" ht="15" customHeight="1">
      <c r="F2251" s="1"/>
    </row>
    <row r="2252" spans="1:10" ht="15" customHeight="1">
      <c r="F2252" s="1"/>
    </row>
    <row r="2253" spans="1:10" ht="15" customHeight="1">
      <c r="A2253" s="134"/>
    </row>
    <row r="2254" spans="1:10" ht="15" customHeight="1">
      <c r="A2254" s="134"/>
    </row>
    <row r="2255" spans="1:10" ht="15" customHeight="1">
      <c r="A2255" s="133"/>
    </row>
    <row r="2256" spans="1:10" ht="15" customHeight="1">
      <c r="A2256" s="133"/>
    </row>
    <row r="2257" spans="1:10" ht="15" customHeight="1">
      <c r="F2257" s="151" t="s">
        <v>2580</v>
      </c>
    </row>
    <row r="2258" spans="1:10" ht="15" customHeight="1">
      <c r="A2258" s="133"/>
    </row>
    <row r="2259" spans="1:10" ht="15" customHeight="1">
      <c r="A2259" s="133"/>
      <c r="F2259" s="151" t="s">
        <v>2447</v>
      </c>
    </row>
    <row r="2260" spans="1:10" ht="15" customHeight="1">
      <c r="A2260" s="133"/>
    </row>
    <row r="2261" spans="1:10" ht="15" customHeight="1">
      <c r="A2261" s="142"/>
      <c r="B2261" s="142"/>
      <c r="C2261" s="142"/>
      <c r="D2261" s="142"/>
      <c r="E2261" s="142"/>
      <c r="F2261" s="142"/>
      <c r="G2261" s="142"/>
      <c r="J2261" s="142"/>
    </row>
    <row r="2263" spans="1:10" ht="15" customHeight="1">
      <c r="A2263" s="132" t="s">
        <v>2448</v>
      </c>
      <c r="C2263" s="135" t="s">
        <v>2769</v>
      </c>
      <c r="D2263" s="136"/>
      <c r="E2263" s="137"/>
      <c r="G2263" s="149" t="s">
        <v>2465</v>
      </c>
      <c r="H2263" s="135" t="s">
        <v>2887</v>
      </c>
      <c r="I2263" s="136"/>
      <c r="J2263" s="137"/>
    </row>
    <row r="2265" spans="1:10" ht="15" customHeight="1">
      <c r="A2265" s="134" t="s">
        <v>2456</v>
      </c>
      <c r="C2265" s="135" t="s">
        <v>2888</v>
      </c>
      <c r="D2265" s="136"/>
      <c r="E2265" s="136"/>
      <c r="F2265" s="137"/>
      <c r="I2265" s="149" t="s">
        <v>2464</v>
      </c>
      <c r="J2265" s="150">
        <v>1</v>
      </c>
    </row>
    <row r="2266" spans="1:10" ht="15" customHeight="1">
      <c r="D2266" s="134"/>
    </row>
    <row r="2267" spans="1:10" ht="15" customHeight="1">
      <c r="A2267" s="132" t="s">
        <v>2459</v>
      </c>
      <c r="D2267" s="135" t="s">
        <v>2899</v>
      </c>
      <c r="E2267" s="136"/>
      <c r="F2267" s="136"/>
      <c r="G2267" s="136"/>
      <c r="H2267" s="136"/>
      <c r="I2267" s="136"/>
      <c r="J2267" s="137"/>
    </row>
    <row r="2269" spans="1:10" ht="15" customHeight="1">
      <c r="A2269" s="134" t="s">
        <v>2460</v>
      </c>
    </row>
    <row r="2270" spans="1:10" ht="15" customHeight="1">
      <c r="A2270" s="134"/>
    </row>
    <row r="2271" spans="1:10" ht="15" customHeight="1">
      <c r="A2271" s="130" t="s">
        <v>2900</v>
      </c>
      <c r="B2271" s="129"/>
      <c r="C2271" s="129"/>
      <c r="D2271" s="129"/>
      <c r="E2271" s="129"/>
      <c r="F2271" s="129"/>
      <c r="G2271" s="129"/>
      <c r="H2271" s="129"/>
      <c r="I2271" s="129"/>
      <c r="J2271" s="128"/>
    </row>
    <row r="2272" spans="1:10" ht="15" customHeight="1">
      <c r="A2272" s="127" t="s">
        <v>2901</v>
      </c>
      <c r="B2272" s="143"/>
      <c r="C2272" s="143"/>
      <c r="D2272" s="143"/>
      <c r="E2272" s="143"/>
      <c r="F2272" s="143"/>
      <c r="G2272" s="143"/>
      <c r="H2272" s="143"/>
      <c r="I2272" s="143"/>
      <c r="J2272" s="144"/>
    </row>
    <row r="2273" spans="1:10" ht="15" customHeight="1">
      <c r="A2273" s="127"/>
      <c r="B2273" s="143"/>
      <c r="C2273" s="143"/>
      <c r="D2273" s="143"/>
      <c r="E2273" s="143"/>
      <c r="F2273" s="143"/>
      <c r="G2273" s="143"/>
      <c r="H2273" s="143"/>
      <c r="I2273" s="143"/>
      <c r="J2273" s="144"/>
    </row>
    <row r="2274" spans="1:10" ht="15" customHeight="1">
      <c r="A2274" s="127" t="s">
        <v>2902</v>
      </c>
      <c r="B2274" s="143"/>
      <c r="C2274" s="143"/>
      <c r="D2274" s="143"/>
      <c r="E2274" s="143"/>
      <c r="F2274" s="143"/>
      <c r="G2274" s="143"/>
      <c r="H2274" s="143"/>
      <c r="I2274" s="143"/>
      <c r="J2274" s="144"/>
    </row>
    <row r="2275" spans="1:10" ht="15" customHeight="1">
      <c r="A2275" s="127" t="s">
        <v>2903</v>
      </c>
      <c r="B2275" s="143"/>
      <c r="C2275" s="143"/>
      <c r="D2275" s="143"/>
      <c r="E2275" s="143"/>
      <c r="F2275" s="143"/>
      <c r="G2275" s="143"/>
      <c r="H2275" s="143"/>
      <c r="I2275" s="143"/>
      <c r="J2275" s="144"/>
    </row>
    <row r="2276" spans="1:10" ht="15" customHeight="1">
      <c r="A2276" s="127"/>
      <c r="B2276" s="143"/>
      <c r="C2276" s="143"/>
      <c r="D2276" s="143"/>
      <c r="E2276" s="143"/>
      <c r="F2276" s="143"/>
      <c r="G2276" s="143"/>
      <c r="H2276" s="143"/>
      <c r="I2276" s="143"/>
      <c r="J2276" s="144"/>
    </row>
    <row r="2277" spans="1:10" ht="15" customHeight="1">
      <c r="A2277" s="127"/>
      <c r="B2277" s="143"/>
      <c r="C2277" s="143"/>
      <c r="D2277" s="143"/>
      <c r="E2277" s="143"/>
      <c r="F2277" s="143"/>
      <c r="G2277" s="143"/>
      <c r="H2277" s="143"/>
      <c r="I2277" s="143"/>
      <c r="J2277" s="144"/>
    </row>
    <row r="2278" spans="1:10" ht="15" customHeight="1">
      <c r="A2278" s="127"/>
      <c r="B2278" s="143"/>
      <c r="C2278" s="143"/>
      <c r="D2278" s="143"/>
      <c r="E2278" s="143"/>
      <c r="F2278" s="143"/>
      <c r="G2278" s="143"/>
      <c r="H2278" s="143"/>
      <c r="I2278" s="143"/>
      <c r="J2278" s="144"/>
    </row>
    <row r="2279" spans="1:10" ht="15" customHeight="1">
      <c r="A2279" s="145"/>
      <c r="B2279" s="143"/>
      <c r="C2279" s="143"/>
      <c r="D2279" s="143"/>
      <c r="E2279" s="143"/>
      <c r="F2279" s="143"/>
      <c r="G2279" s="143"/>
      <c r="H2279" s="143"/>
      <c r="I2279" s="143"/>
      <c r="J2279" s="144"/>
    </row>
    <row r="2280" spans="1:10" ht="15" customHeight="1">
      <c r="A2280" s="127"/>
      <c r="B2280" s="143"/>
      <c r="C2280" s="143"/>
      <c r="D2280" s="143"/>
      <c r="E2280" s="143"/>
      <c r="F2280" s="143"/>
      <c r="G2280" s="143"/>
      <c r="H2280" s="143"/>
      <c r="I2280" s="143"/>
      <c r="J2280" s="144"/>
    </row>
    <row r="2281" spans="1:10" ht="15" customHeight="1">
      <c r="A2281" s="146"/>
      <c r="B2281" s="147"/>
      <c r="C2281" s="147"/>
      <c r="D2281" s="147"/>
      <c r="E2281" s="147"/>
      <c r="F2281" s="147"/>
      <c r="G2281" s="147"/>
      <c r="H2281" s="147"/>
      <c r="I2281" s="147"/>
      <c r="J2281" s="148"/>
    </row>
    <row r="2283" spans="1:10" ht="15" customHeight="1">
      <c r="F2283" s="134"/>
      <c r="G2283" s="152" t="s">
        <v>2449</v>
      </c>
      <c r="H2283" s="152"/>
      <c r="I2283" s="152"/>
      <c r="J2283" s="155">
        <v>5388</v>
      </c>
    </row>
    <row r="2284" spans="1:10" ht="15" customHeight="1">
      <c r="F2284" s="134"/>
      <c r="G2284" s="132" t="s">
        <v>2463</v>
      </c>
      <c r="J2284" s="139">
        <f>-0.2*J2283</f>
        <v>-1077.6000000000001</v>
      </c>
    </row>
    <row r="2285" spans="1:10" ht="15" customHeight="1">
      <c r="F2285" s="134"/>
      <c r="G2285" s="132" t="s">
        <v>2450</v>
      </c>
      <c r="J2285" s="140">
        <f>+J2284+J2283</f>
        <v>4310.3999999999996</v>
      </c>
    </row>
    <row r="2287" spans="1:10" ht="15" customHeight="1">
      <c r="E2287" s="1" t="s">
        <v>2451</v>
      </c>
      <c r="F2287" s="1" t="s">
        <v>2452</v>
      </c>
      <c r="G2287" s="132" t="s">
        <v>2453</v>
      </c>
      <c r="J2287" s="1" t="s">
        <v>2454</v>
      </c>
    </row>
    <row r="2288" spans="1:10" ht="15" customHeight="1">
      <c r="C2288" s="132" t="s">
        <v>2461</v>
      </c>
      <c r="E2288" s="150">
        <v>20</v>
      </c>
      <c r="F2288" s="150">
        <v>5250</v>
      </c>
      <c r="G2288" s="138">
        <v>5565</v>
      </c>
      <c r="H2288" s="141"/>
      <c r="J2288" s="139">
        <f>+J2283</f>
        <v>5388</v>
      </c>
    </row>
    <row r="2289" spans="3:10" ht="15" customHeight="1">
      <c r="C2289" s="132" t="s">
        <v>2461</v>
      </c>
      <c r="E2289" s="150"/>
      <c r="F2289" s="150"/>
      <c r="G2289" s="138"/>
      <c r="H2289" s="141"/>
      <c r="J2289" s="139"/>
    </row>
    <row r="2290" spans="3:10" ht="15" customHeight="1">
      <c r="C2290" s="132" t="s">
        <v>2461</v>
      </c>
      <c r="E2290" s="150"/>
      <c r="F2290" s="150"/>
      <c r="G2290" s="138"/>
      <c r="H2290" s="141"/>
      <c r="J2290" s="139"/>
    </row>
    <row r="2291" spans="3:10" ht="15" customHeight="1">
      <c r="C2291" s="132" t="s">
        <v>2461</v>
      </c>
      <c r="E2291" s="150"/>
      <c r="F2291" s="150"/>
      <c r="G2291" s="138"/>
      <c r="H2291" s="141"/>
      <c r="J2291" s="139"/>
    </row>
    <row r="2292" spans="3:10" ht="15" customHeight="1">
      <c r="C2292" s="132" t="s">
        <v>2461</v>
      </c>
      <c r="E2292" s="150"/>
      <c r="F2292" s="150"/>
      <c r="G2292" s="138"/>
      <c r="H2292" s="141"/>
      <c r="J2292" s="139"/>
    </row>
    <row r="2293" spans="3:10" ht="15" customHeight="1">
      <c r="C2293" s="132" t="s">
        <v>2461</v>
      </c>
      <c r="E2293" s="150"/>
      <c r="F2293" s="150"/>
      <c r="G2293" s="138"/>
      <c r="H2293" s="141"/>
      <c r="J2293" s="139"/>
    </row>
    <row r="2294" spans="3:10" ht="15" customHeight="1">
      <c r="C2294" s="132" t="s">
        <v>2461</v>
      </c>
      <c r="E2294" s="150"/>
      <c r="F2294" s="150"/>
      <c r="G2294" s="138"/>
      <c r="H2294" s="141"/>
      <c r="J2294" s="139"/>
    </row>
    <row r="2295" spans="3:10" ht="15" customHeight="1">
      <c r="C2295" s="132" t="s">
        <v>2461</v>
      </c>
      <c r="E2295" s="150"/>
      <c r="F2295" s="150"/>
      <c r="G2295" s="138"/>
      <c r="H2295" s="141"/>
      <c r="J2295" s="139"/>
    </row>
    <row r="2296" spans="3:10" ht="15" customHeight="1">
      <c r="C2296" s="132" t="s">
        <v>2461</v>
      </c>
      <c r="E2296" s="150"/>
      <c r="F2296" s="150"/>
      <c r="G2296" s="138"/>
      <c r="H2296" s="141"/>
      <c r="J2296" s="139"/>
    </row>
    <row r="2297" spans="3:10" ht="15" customHeight="1">
      <c r="C2297" s="132" t="s">
        <v>2461</v>
      </c>
      <c r="E2297" s="150"/>
      <c r="F2297" s="150"/>
      <c r="G2297" s="138"/>
      <c r="H2297" s="141"/>
      <c r="J2297" s="139"/>
    </row>
    <row r="2298" spans="3:10" ht="15" customHeight="1">
      <c r="C2298" s="132" t="s">
        <v>2461</v>
      </c>
      <c r="E2298" s="150"/>
      <c r="F2298" s="150"/>
      <c r="G2298" s="138"/>
      <c r="H2298" s="141"/>
      <c r="J2298" s="139"/>
    </row>
    <row r="2299" spans="3:10" ht="15" customHeight="1">
      <c r="C2299" s="132" t="s">
        <v>2461</v>
      </c>
      <c r="E2299" s="150">
        <v>20</v>
      </c>
      <c r="F2299" s="150">
        <v>5250</v>
      </c>
      <c r="G2299" s="138" t="s">
        <v>2455</v>
      </c>
      <c r="H2299" s="141"/>
      <c r="J2299" s="139">
        <f>-J2285</f>
        <v>-4310.3999999999996</v>
      </c>
    </row>
    <row r="2300" spans="3:10" ht="15" customHeight="1">
      <c r="E2300" s="154"/>
      <c r="F2300" s="154"/>
      <c r="G2300" s="154"/>
      <c r="H2300" s="154"/>
      <c r="I2300" s="154"/>
      <c r="J2300" s="154"/>
    </row>
    <row r="2301" spans="3:10" ht="15" customHeight="1">
      <c r="F2301" s="134"/>
      <c r="G2301" s="152" t="s">
        <v>2466</v>
      </c>
      <c r="H2301" s="152"/>
      <c r="I2301" s="152"/>
      <c r="J2301" s="153">
        <f>SUM(J2288:J2299)</f>
        <v>1077.6000000000004</v>
      </c>
    </row>
    <row r="2302" spans="3:10" ht="15" customHeight="1">
      <c r="F2302" s="134"/>
      <c r="G2302" s="152"/>
      <c r="H2302" s="152"/>
      <c r="I2302" s="152"/>
      <c r="J2302" s="157"/>
    </row>
    <row r="2303" spans="3:10" ht="15" customHeight="1">
      <c r="F2303" s="134"/>
      <c r="G2303" s="142" t="s">
        <v>2458</v>
      </c>
      <c r="H2303" s="142"/>
      <c r="I2303" s="142"/>
      <c r="J2303" s="156">
        <f>+J2301-J2283+J2285</f>
        <v>0</v>
      </c>
    </row>
    <row r="2310" spans="4:5" ht="15" customHeight="1">
      <c r="D2310" s="132" t="s">
        <v>2904</v>
      </c>
      <c r="E2310" s="132" t="s">
        <v>2905</v>
      </c>
    </row>
  </sheetData>
  <mergeCells count="23">
    <mergeCell ref="G541:H541"/>
    <mergeCell ref="C522:E522"/>
    <mergeCell ref="A524:B524"/>
    <mergeCell ref="D524:F524"/>
    <mergeCell ref="A526:B526"/>
    <mergeCell ref="A528:H528"/>
    <mergeCell ref="G540:H540"/>
    <mergeCell ref="C556:D556"/>
    <mergeCell ref="G558:H558"/>
    <mergeCell ref="A522:B522"/>
    <mergeCell ref="A520:B520"/>
    <mergeCell ref="C550:D550"/>
    <mergeCell ref="C551:D551"/>
    <mergeCell ref="C552:D552"/>
    <mergeCell ref="C553:D553"/>
    <mergeCell ref="C554:D554"/>
    <mergeCell ref="C555:D555"/>
    <mergeCell ref="G542:H542"/>
    <mergeCell ref="C545:D545"/>
    <mergeCell ref="C546:D546"/>
    <mergeCell ref="C547:D547"/>
    <mergeCell ref="C548:D548"/>
    <mergeCell ref="C549:D549"/>
  </mergeCells>
  <pageMargins left="0.8" right="0" top="0" bottom="0" header="0" footer="0"/>
  <pageSetup scale="97" fitToHeight="3" orientation="portrait" r:id="rId1"/>
  <drawing r:id="rId2"/>
  <legacyDrawing r:id="rId3"/>
  <oleObjects>
    <oleObject progId="PBrush" shapeId="3073" r:id="rId4"/>
    <oleObject progId="PBrush" shapeId="3075" r:id="rId5"/>
    <oleObject progId="PBrush" shapeId="3076" r:id="rId6"/>
    <oleObject progId="PBrush" shapeId="3078" r:id="rId7"/>
    <oleObject progId="PBrush" shapeId="3079" r:id="rId8"/>
    <oleObject progId="PBrush" shapeId="3080" r:id="rId9"/>
    <oleObject progId="PBrush" shapeId="3081" r:id="rId10"/>
    <oleObject progId="PBrush" shapeId="3082" r:id="rId11"/>
    <oleObject progId="PBrush" shapeId="3083" r:id="rId12"/>
    <oleObject progId="PBrush" shapeId="3084" r:id="rId13"/>
    <oleObject progId="PBrush" shapeId="3085" r:id="rId14"/>
    <oleObject progId="PBrush" shapeId="3086" r:id="rId15"/>
    <oleObject progId="PBrush" shapeId="3087" r:id="rId16"/>
    <oleObject progId="PBrush" shapeId="3088" r:id="rId17"/>
    <oleObject progId="PBrush" shapeId="3089" r:id="rId18"/>
    <oleObject progId="PBrush" shapeId="3090" r:id="rId19"/>
    <oleObject progId="PBrush" shapeId="3091" r:id="rId20"/>
    <oleObject progId="PBrush" shapeId="3092" r:id="rId21"/>
    <oleObject progId="PBrush" shapeId="3093" r:id="rId22"/>
    <oleObject progId="PBrush" shapeId="3094" r:id="rId23"/>
    <oleObject progId="PBrush" shapeId="3095" r:id="rId24"/>
    <oleObject progId="PBrush" shapeId="3096" r:id="rId25"/>
    <oleObject progId="PBrush" shapeId="3097" r:id="rId26"/>
    <oleObject progId="PBrush" shapeId="3098" r:id="rId27"/>
    <oleObject progId="PBrush" shapeId="3099" r:id="rId28"/>
    <oleObject progId="PBrush" shapeId="3100" r:id="rId29"/>
    <oleObject progId="PBrush" shapeId="3101" r:id="rId30"/>
    <oleObject progId="PBrush" shapeId="3102" r:id="rId31"/>
    <oleObject progId="PBrush" shapeId="3103" r:id="rId32"/>
    <oleObject progId="PBrush" shapeId="3104" r:id="rId33"/>
    <oleObject progId="PBrush" shapeId="3105" r:id="rId34"/>
    <oleObject progId="PBrush" shapeId="3106" r:id="rId35"/>
    <oleObject progId="PBrush" shapeId="3107" r:id="rId36"/>
    <oleObject progId="PBrush" shapeId="3108" r:id="rId37"/>
    <oleObject progId="PBrush" shapeId="3109" r:id="rId38"/>
    <oleObject progId="PBrush" shapeId="3110" r:id="rId39"/>
    <oleObject progId="PBrush" shapeId="3111" r:id="rId40"/>
    <oleObject progId="PBrush" shapeId="3112" r:id="rId41"/>
    <oleObject progId="PBrush" shapeId="3113" r:id="rId42"/>
    <oleObject progId="PBrush" shapeId="3114" r:id="rId43"/>
    <oleObject progId="PBrush" shapeId="3115" r:id="rId4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D19"/>
  <sheetViews>
    <sheetView workbookViewId="0">
      <selection activeCell="H15" sqref="A1:H15"/>
    </sheetView>
  </sheetViews>
  <sheetFormatPr defaultRowHeight="15"/>
  <cols>
    <col min="1" max="1" width="3.85546875" customWidth="1"/>
  </cols>
  <sheetData>
    <row r="1" spans="1:4">
      <c r="A1" s="194" t="s">
        <v>2592</v>
      </c>
    </row>
    <row r="2" spans="1:4">
      <c r="A2" s="194" t="s">
        <v>2591</v>
      </c>
    </row>
    <row r="3" spans="1:4">
      <c r="A3" s="194" t="s">
        <v>2593</v>
      </c>
    </row>
    <row r="5" spans="1:4">
      <c r="A5" t="s">
        <v>2581</v>
      </c>
      <c r="B5" t="s">
        <v>2582</v>
      </c>
    </row>
    <row r="7" spans="1:4">
      <c r="A7" t="s">
        <v>2583</v>
      </c>
      <c r="B7" s="194" t="s">
        <v>2588</v>
      </c>
    </row>
    <row r="8" spans="1:4">
      <c r="C8" t="s">
        <v>2584</v>
      </c>
    </row>
    <row r="9" spans="1:4">
      <c r="D9" t="s">
        <v>2585</v>
      </c>
    </row>
    <row r="10" spans="1:4">
      <c r="D10" t="s">
        <v>2415</v>
      </c>
    </row>
    <row r="11" spans="1:4">
      <c r="D11" t="s">
        <v>2586</v>
      </c>
    </row>
    <row r="13" spans="1:4">
      <c r="A13" t="s">
        <v>2587</v>
      </c>
      <c r="B13" s="194" t="s">
        <v>2589</v>
      </c>
    </row>
    <row r="14" spans="1:4">
      <c r="C14" s="194" t="s">
        <v>2590</v>
      </c>
    </row>
    <row r="19" spans="3:3">
      <c r="C19" s="194" t="s">
        <v>2591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91"/>
  <sheetViews>
    <sheetView zoomScaleNormal="100" workbookViewId="0"/>
  </sheetViews>
  <sheetFormatPr defaultRowHeight="15"/>
  <cols>
    <col min="1" max="1" width="8.7109375" style="263" customWidth="1"/>
    <col min="2" max="2" width="30.7109375" customWidth="1"/>
    <col min="3" max="3" width="3.42578125" customWidth="1"/>
    <col min="4" max="6" width="14.28515625" customWidth="1"/>
    <col min="7" max="7" width="14.28515625" style="259" customWidth="1"/>
    <col min="8" max="8" width="41.28515625" customWidth="1"/>
  </cols>
  <sheetData>
    <row r="1" spans="1:8">
      <c r="A1" s="263" t="s">
        <v>3075</v>
      </c>
      <c r="B1" s="194"/>
      <c r="D1" s="259" t="s">
        <v>2996</v>
      </c>
      <c r="E1" s="194" t="s">
        <v>2415</v>
      </c>
      <c r="H1" s="259" t="s">
        <v>3004</v>
      </c>
    </row>
    <row r="2" spans="1:8">
      <c r="A2" s="263" t="s">
        <v>2405</v>
      </c>
      <c r="B2" s="194"/>
      <c r="C2" s="194"/>
      <c r="D2" s="194"/>
      <c r="E2" s="194"/>
      <c r="F2" s="194"/>
      <c r="H2" s="194"/>
    </row>
    <row r="3" spans="1:8">
      <c r="A3" s="263" t="s">
        <v>2954</v>
      </c>
      <c r="B3" s="194"/>
      <c r="C3" s="194"/>
      <c r="D3" s="194"/>
      <c r="E3" s="260" t="s">
        <v>1964</v>
      </c>
      <c r="F3" s="194"/>
      <c r="G3" s="260" t="s">
        <v>3010</v>
      </c>
      <c r="H3" s="260" t="s">
        <v>3009</v>
      </c>
    </row>
    <row r="4" spans="1:8">
      <c r="B4" s="194"/>
      <c r="C4" s="194"/>
      <c r="D4" s="260" t="s">
        <v>1956</v>
      </c>
      <c r="E4" s="260" t="s">
        <v>1965</v>
      </c>
      <c r="F4" s="260" t="s">
        <v>1968</v>
      </c>
      <c r="G4" s="260" t="s">
        <v>3011</v>
      </c>
      <c r="H4" s="260" t="s">
        <v>1968</v>
      </c>
    </row>
    <row r="5" spans="1:8">
      <c r="B5" s="194"/>
      <c r="C5" s="194"/>
      <c r="D5" s="260" t="s">
        <v>1961</v>
      </c>
      <c r="E5" s="260" t="s">
        <v>1966</v>
      </c>
      <c r="F5" s="260" t="s">
        <v>1961</v>
      </c>
      <c r="G5" s="260" t="s">
        <v>3012</v>
      </c>
      <c r="H5" s="260" t="s">
        <v>1961</v>
      </c>
    </row>
    <row r="6" spans="1:8">
      <c r="A6" s="264" t="s">
        <v>2955</v>
      </c>
      <c r="B6" s="255" t="s">
        <v>2956</v>
      </c>
      <c r="C6" s="255"/>
      <c r="D6" s="261" t="s">
        <v>1967</v>
      </c>
      <c r="E6" s="261" t="s">
        <v>1967</v>
      </c>
      <c r="F6" s="261" t="s">
        <v>2485</v>
      </c>
      <c r="G6" s="261" t="s">
        <v>3013</v>
      </c>
      <c r="H6" s="261" t="s">
        <v>2485</v>
      </c>
    </row>
    <row r="7" spans="1:8">
      <c r="B7" s="194"/>
      <c r="C7" s="194"/>
      <c r="D7" s="194"/>
      <c r="E7" s="194"/>
      <c r="F7" s="194"/>
      <c r="H7" s="194"/>
    </row>
    <row r="8" spans="1:8" s="194" customFormat="1" ht="15.75" thickBot="1">
      <c r="A8" s="270" t="s">
        <v>3014</v>
      </c>
      <c r="B8" s="267"/>
      <c r="C8" s="266"/>
      <c r="D8" s="266"/>
      <c r="E8" s="268">
        <f>'FY 12.13 Budget Request'!M8</f>
        <v>511540</v>
      </c>
      <c r="F8" s="268">
        <f>'FY 12.13 Budget Request'!N8</f>
        <v>632925.77000000048</v>
      </c>
      <c r="G8" s="271"/>
      <c r="H8" s="268">
        <f>'FY 12.13 Budget Request'!O8</f>
        <v>0</v>
      </c>
    </row>
    <row r="9" spans="1:8" s="194" customFormat="1" ht="7.5" customHeight="1">
      <c r="A9" s="263"/>
      <c r="G9" s="259"/>
    </row>
    <row r="10" spans="1:8">
      <c r="A10" s="263" t="s">
        <v>2610</v>
      </c>
      <c r="B10" s="194"/>
      <c r="C10" s="194"/>
      <c r="D10" s="194"/>
      <c r="E10" s="194"/>
      <c r="F10" s="194"/>
      <c r="H10" s="194"/>
    </row>
    <row r="11" spans="1:8" ht="7.5" customHeight="1">
      <c r="B11" s="194"/>
      <c r="C11" s="194"/>
      <c r="D11" s="194"/>
      <c r="E11" s="194"/>
      <c r="F11" s="194"/>
      <c r="H11" s="194"/>
    </row>
    <row r="12" spans="1:8">
      <c r="A12" s="263" t="s">
        <v>2612</v>
      </c>
      <c r="B12" s="194"/>
      <c r="C12" s="194"/>
      <c r="D12" s="257">
        <f>'FY 12.13 Budget Request'!K12</f>
        <v>6462473</v>
      </c>
      <c r="E12" s="257">
        <f>'FY 12.13 Budget Request'!M12</f>
        <v>6434454</v>
      </c>
      <c r="F12" s="257">
        <f>'FY 12.13 Budget Request'!N12</f>
        <v>6620104.8294474604</v>
      </c>
      <c r="G12" s="346">
        <f>(F12-D12)/D12</f>
        <v>2.4391874356374157E-2</v>
      </c>
      <c r="H12" s="257">
        <f>'FY 12.13 Budget Request'!O12</f>
        <v>0</v>
      </c>
    </row>
    <row r="13" spans="1:8" ht="7.5" customHeight="1">
      <c r="B13" s="194"/>
      <c r="C13" s="194"/>
      <c r="D13" s="194"/>
      <c r="E13" s="194"/>
      <c r="F13" s="194"/>
      <c r="G13" s="345"/>
      <c r="H13" s="194"/>
    </row>
    <row r="14" spans="1:8" ht="15.75" thickBot="1">
      <c r="A14" s="263" t="s">
        <v>2613</v>
      </c>
      <c r="B14" s="194"/>
      <c r="C14" s="194"/>
      <c r="D14" s="258">
        <f>'FY 12.13 Budget Request'!K14</f>
        <v>6462473</v>
      </c>
      <c r="E14" s="258">
        <f>'FY 12.13 Budget Request'!M14</f>
        <v>6434454</v>
      </c>
      <c r="F14" s="258">
        <f>'FY 12.13 Budget Request'!N14</f>
        <v>6620104.8294474604</v>
      </c>
      <c r="G14" s="343">
        <f>(F14-D14)/D14</f>
        <v>2.4391874356374157E-2</v>
      </c>
      <c r="H14" s="258">
        <f>'FY 12.13 Budget Request'!O14</f>
        <v>0</v>
      </c>
    </row>
    <row r="15" spans="1:8" ht="7.5" customHeight="1" thickTop="1">
      <c r="B15" s="194"/>
      <c r="C15" s="194"/>
      <c r="D15" s="194"/>
      <c r="E15" s="194"/>
      <c r="F15" s="194"/>
      <c r="H15" s="194"/>
    </row>
    <row r="16" spans="1:8">
      <c r="A16" s="263" t="s">
        <v>2614</v>
      </c>
      <c r="B16" s="194"/>
      <c r="C16" s="194"/>
      <c r="D16" s="194"/>
      <c r="E16" s="194"/>
      <c r="F16" s="194"/>
      <c r="H16" s="194"/>
    </row>
    <row r="17" spans="1:8" ht="7.5" customHeight="1">
      <c r="B17" s="194"/>
      <c r="C17" s="194"/>
      <c r="D17" s="194"/>
      <c r="E17" s="194"/>
      <c r="F17" s="194"/>
      <c r="H17" s="194"/>
    </row>
    <row r="18" spans="1:8">
      <c r="A18" s="265">
        <v>110</v>
      </c>
      <c r="B18" s="194" t="s">
        <v>2957</v>
      </c>
      <c r="C18" s="194"/>
      <c r="D18" s="256">
        <f>'FY 12.13 Budget Request'!K18</f>
        <v>0</v>
      </c>
      <c r="E18" s="256">
        <f>'FY 12.13 Budget Request'!M18</f>
        <v>10270</v>
      </c>
      <c r="F18" s="256">
        <f>'FY 12.13 Budget Request'!N18</f>
        <v>0</v>
      </c>
      <c r="G18" s="344">
        <v>0</v>
      </c>
      <c r="H18" s="256" t="s">
        <v>3020</v>
      </c>
    </row>
    <row r="19" spans="1:8">
      <c r="A19" s="265" t="s">
        <v>2958</v>
      </c>
      <c r="B19" s="194" t="s">
        <v>2959</v>
      </c>
      <c r="C19" s="194"/>
      <c r="D19" s="256">
        <f>'FY 12.13 Budget Request'!K19</f>
        <v>19920</v>
      </c>
      <c r="E19" s="256">
        <f>'FY 12.13 Budget Request'!M19</f>
        <v>21684.239999999998</v>
      </c>
      <c r="F19" s="256">
        <f>'FY 12.13 Budget Request'!N19</f>
        <v>19920</v>
      </c>
      <c r="G19" s="344">
        <f t="shared" ref="G19:G38" si="0">(F19-D19)/D19</f>
        <v>0</v>
      </c>
      <c r="H19" s="256">
        <f>'FY 12.13 Budget Request'!O19</f>
        <v>0</v>
      </c>
    </row>
    <row r="20" spans="1:8">
      <c r="A20" s="265" t="s">
        <v>2960</v>
      </c>
      <c r="B20" s="194" t="s">
        <v>2961</v>
      </c>
      <c r="C20" s="194"/>
      <c r="D20" s="256">
        <f>'FY 12.13 Budget Request'!K20</f>
        <v>181855</v>
      </c>
      <c r="E20" s="256">
        <f>'FY 12.13 Budget Request'!M20</f>
        <v>181266.39999999997</v>
      </c>
      <c r="F20" s="256">
        <f>'FY 12.13 Budget Request'!N20</f>
        <v>192425</v>
      </c>
      <c r="G20" s="344">
        <f t="shared" si="0"/>
        <v>5.81232300459157E-2</v>
      </c>
      <c r="H20" s="256"/>
    </row>
    <row r="21" spans="1:8">
      <c r="A21" s="265" t="s">
        <v>2962</v>
      </c>
      <c r="B21" s="194" t="s">
        <v>2963</v>
      </c>
      <c r="C21" s="194"/>
      <c r="D21" s="256">
        <f>'FY 12.13 Budget Request'!K21</f>
        <v>94946</v>
      </c>
      <c r="E21" s="256">
        <f>'FY 12.13 Budget Request'!M21</f>
        <v>93624.27</v>
      </c>
      <c r="F21" s="256">
        <f>'FY 12.13 Budget Request'!N21</f>
        <v>97989</v>
      </c>
      <c r="G21" s="344">
        <f t="shared" si="0"/>
        <v>3.2049796726560359E-2</v>
      </c>
      <c r="H21" s="256">
        <f>'FY 12.13 Budget Request'!O21</f>
        <v>0</v>
      </c>
    </row>
    <row r="22" spans="1:8">
      <c r="A22" s="265" t="s">
        <v>2964</v>
      </c>
      <c r="B22" s="194" t="s">
        <v>2965</v>
      </c>
      <c r="C22" s="194"/>
      <c r="D22" s="256">
        <f>'FY 12.13 Budget Request'!K22</f>
        <v>42100</v>
      </c>
      <c r="E22" s="256">
        <f>'FY 12.13 Budget Request'!M22</f>
        <v>38000</v>
      </c>
      <c r="F22" s="256">
        <f>'FY 12.13 Budget Request'!N22</f>
        <v>42100</v>
      </c>
      <c r="G22" s="344">
        <f t="shared" si="0"/>
        <v>0</v>
      </c>
      <c r="H22" s="256">
        <f>'FY 12.13 Budget Request'!O22</f>
        <v>0</v>
      </c>
    </row>
    <row r="23" spans="1:8">
      <c r="A23" s="265" t="s">
        <v>2966</v>
      </c>
      <c r="B23" s="194" t="s">
        <v>2967</v>
      </c>
      <c r="C23" s="194"/>
      <c r="D23" s="256">
        <f>'FY 12.13 Budget Request'!K23</f>
        <v>6795</v>
      </c>
      <c r="E23" s="256">
        <f>'FY 12.13 Budget Request'!M23</f>
        <v>3551</v>
      </c>
      <c r="F23" s="256">
        <f>'FY 12.13 Budget Request'!N23</f>
        <v>10440</v>
      </c>
      <c r="G23" s="344">
        <f t="shared" si="0"/>
        <v>0.53642384105960261</v>
      </c>
      <c r="H23" s="256" t="str">
        <f>'FY 12.13 Budget Request'!O23</f>
        <v>New Sprayer</v>
      </c>
    </row>
    <row r="24" spans="1:8">
      <c r="A24" s="265" t="s">
        <v>2968</v>
      </c>
      <c r="B24" s="194" t="s">
        <v>2969</v>
      </c>
      <c r="C24" s="194"/>
      <c r="D24" s="256">
        <f>'FY 12.13 Budget Request'!K24</f>
        <v>679422</v>
      </c>
      <c r="E24" s="256">
        <f>'FY 12.13 Budget Request'!M24</f>
        <v>605219.72</v>
      </c>
      <c r="F24" s="256">
        <f>'FY 12.13 Budget Request'!N24</f>
        <v>683232</v>
      </c>
      <c r="G24" s="344">
        <f t="shared" si="0"/>
        <v>5.6077077280394221E-3</v>
      </c>
      <c r="H24" s="256">
        <f>'FY 12.13 Budget Request'!O24</f>
        <v>0</v>
      </c>
    </row>
    <row r="25" spans="1:8">
      <c r="A25" s="265" t="s">
        <v>2970</v>
      </c>
      <c r="B25" s="194" t="s">
        <v>2971</v>
      </c>
      <c r="C25" s="194"/>
      <c r="D25" s="256">
        <f>'FY 12.13 Budget Request'!K25</f>
        <v>187000</v>
      </c>
      <c r="E25" s="256">
        <f>'FY 12.13 Budget Request'!M25</f>
        <v>182345.63</v>
      </c>
      <c r="F25" s="256">
        <f>'FY 12.13 Budget Request'!N25</f>
        <v>190515</v>
      </c>
      <c r="G25" s="344">
        <f t="shared" si="0"/>
        <v>1.8796791443850266E-2</v>
      </c>
      <c r="H25" s="256">
        <f>'FY 12.13 Budget Request'!O25</f>
        <v>0</v>
      </c>
    </row>
    <row r="26" spans="1:8">
      <c r="A26" s="265" t="s">
        <v>2972</v>
      </c>
      <c r="B26" s="194" t="s">
        <v>2973</v>
      </c>
      <c r="C26" s="194"/>
      <c r="D26" s="256">
        <f>'FY 12.13 Budget Request'!K26</f>
        <v>1925049</v>
      </c>
      <c r="E26" s="256">
        <f>'FY 12.13 Budget Request'!M26</f>
        <v>1890201.65</v>
      </c>
      <c r="F26" s="256">
        <f>'FY 12.13 Budget Request'!N26</f>
        <v>1887987</v>
      </c>
      <c r="G26" s="344">
        <f t="shared" si="0"/>
        <v>-1.9252496949428301E-2</v>
      </c>
      <c r="H26" s="256">
        <f>'FY 12.13 Budget Request'!O26</f>
        <v>0</v>
      </c>
    </row>
    <row r="27" spans="1:8">
      <c r="A27" s="265" t="s">
        <v>2974</v>
      </c>
      <c r="B27" s="194" t="s">
        <v>2975</v>
      </c>
      <c r="C27" s="194"/>
      <c r="D27" s="256">
        <f>'FY 12.13 Budget Request'!K27</f>
        <v>1065568</v>
      </c>
      <c r="E27" s="256">
        <f>'FY 12.13 Budget Request'!M27</f>
        <v>1095608.9899999998</v>
      </c>
      <c r="F27" s="256">
        <f>'FY 12.13 Budget Request'!N27</f>
        <v>1102205.6039999998</v>
      </c>
      <c r="G27" s="344">
        <f t="shared" si="0"/>
        <v>3.4383168413465698E-2</v>
      </c>
      <c r="H27" s="256" t="str">
        <f>'FY 12.13 Budget Request'!O27</f>
        <v>Transfers</v>
      </c>
    </row>
    <row r="28" spans="1:8">
      <c r="A28" s="265" t="s">
        <v>2976</v>
      </c>
      <c r="B28" s="194" t="s">
        <v>2977</v>
      </c>
      <c r="C28" s="194"/>
      <c r="D28" s="256">
        <f>'FY 12.13 Budget Request'!K28</f>
        <v>127887</v>
      </c>
      <c r="E28" s="256">
        <f>'FY 12.13 Budget Request'!M28</f>
        <v>130961.23000000001</v>
      </c>
      <c r="F28" s="256">
        <f>'FY 12.13 Budget Request'!N28</f>
        <v>138363</v>
      </c>
      <c r="G28" s="344">
        <f t="shared" si="0"/>
        <v>8.191606652748129E-2</v>
      </c>
      <c r="H28" s="256" t="str">
        <f>'FY 12.13 Budget Request'!O28</f>
        <v>Mower in Cap</v>
      </c>
    </row>
    <row r="29" spans="1:8">
      <c r="A29" s="265" t="s">
        <v>2978</v>
      </c>
      <c r="B29" s="194" t="s">
        <v>2979</v>
      </c>
      <c r="C29" s="194"/>
      <c r="D29" s="256">
        <f>'FY 12.13 Budget Request'!K29</f>
        <v>154405</v>
      </c>
      <c r="E29" s="256">
        <f>'FY 12.13 Budget Request'!M29</f>
        <v>170395.51</v>
      </c>
      <c r="F29" s="256">
        <f>'FY 12.13 Budget Request'!N29</f>
        <v>211359.18599999999</v>
      </c>
      <c r="G29" s="344">
        <f t="shared" si="0"/>
        <v>0.36886231663482394</v>
      </c>
      <c r="H29" s="256" t="str">
        <f>'FY 12.13 Budget Request'!O29</f>
        <v>Increased State Court Tax Item</v>
      </c>
    </row>
    <row r="30" spans="1:8" ht="15" customHeight="1">
      <c r="A30" s="265" t="s">
        <v>2980</v>
      </c>
      <c r="B30" s="194" t="s">
        <v>3007</v>
      </c>
      <c r="C30" s="194"/>
      <c r="D30" s="256">
        <f>'FY 12.13 Budget Request'!K30</f>
        <v>140941</v>
      </c>
      <c r="E30" s="256">
        <f>'FY 12.13 Budget Request'!M30</f>
        <v>90942.5</v>
      </c>
      <c r="F30" s="256">
        <f>'FY 12.13 Budget Request'!N30</f>
        <v>88103</v>
      </c>
      <c r="G30" s="344">
        <f t="shared" si="0"/>
        <v>-0.37489445938371374</v>
      </c>
      <c r="H30" s="256" t="str">
        <f>'FY 12.13 Budget Request'!O30</f>
        <v>Debt Service from Donations</v>
      </c>
    </row>
    <row r="31" spans="1:8">
      <c r="A31" s="265" t="s">
        <v>2981</v>
      </c>
      <c r="B31" s="194" t="s">
        <v>2982</v>
      </c>
      <c r="C31" s="194"/>
      <c r="D31" s="256">
        <f>'FY 12.13 Budget Request'!K31</f>
        <v>729388</v>
      </c>
      <c r="E31" s="256">
        <f>'FY 12.13 Budget Request'!M31</f>
        <v>764597</v>
      </c>
      <c r="F31" s="256">
        <f>'FY 12.13 Budget Request'!N31</f>
        <v>728167.12</v>
      </c>
      <c r="G31" s="344">
        <f t="shared" si="0"/>
        <v>-1.6738416316144557E-3</v>
      </c>
      <c r="H31" s="256" t="str">
        <f>'FY 12.13 Budget Request'!O31</f>
        <v>Transfers</v>
      </c>
    </row>
    <row r="32" spans="1:8">
      <c r="A32" s="265" t="s">
        <v>2983</v>
      </c>
      <c r="B32" s="194" t="s">
        <v>2984</v>
      </c>
      <c r="C32" s="194"/>
      <c r="D32" s="256">
        <f>'FY 12.13 Budget Request'!K32</f>
        <v>197024</v>
      </c>
      <c r="E32" s="256">
        <f>'FY 12.13 Budget Request'!M32</f>
        <v>157719.72000000003</v>
      </c>
      <c r="F32" s="256">
        <f>'FY 12.13 Budget Request'!N32</f>
        <v>182054</v>
      </c>
      <c r="G32" s="344">
        <f t="shared" si="0"/>
        <v>-7.5980591197011532E-2</v>
      </c>
      <c r="H32" s="256">
        <f>'FY 12.13 Budget Request'!O32</f>
        <v>0</v>
      </c>
    </row>
    <row r="33" spans="1:8">
      <c r="A33" s="265" t="s">
        <v>2985</v>
      </c>
      <c r="B33" s="194" t="s">
        <v>2986</v>
      </c>
      <c r="C33" s="194"/>
      <c r="D33" s="256">
        <f>'FY 12.13 Budget Request'!K33</f>
        <v>47938</v>
      </c>
      <c r="E33" s="256">
        <f>'FY 12.13 Budget Request'!M33</f>
        <v>50850.020000000004</v>
      </c>
      <c r="F33" s="256">
        <f>'FY 12.13 Budget Request'!N33</f>
        <v>52605</v>
      </c>
      <c r="G33" s="344">
        <f t="shared" si="0"/>
        <v>9.7354916767491348E-2</v>
      </c>
      <c r="H33" s="256">
        <f>'FY 12.13 Budget Request'!O33</f>
        <v>0</v>
      </c>
    </row>
    <row r="34" spans="1:8">
      <c r="A34" s="265" t="s">
        <v>2987</v>
      </c>
      <c r="B34" s="194" t="s">
        <v>2988</v>
      </c>
      <c r="C34" s="194"/>
      <c r="D34" s="256">
        <f>'FY 12.13 Budget Request'!K34</f>
        <v>119499</v>
      </c>
      <c r="E34" s="256">
        <f>'FY 12.13 Budget Request'!M34</f>
        <v>119597.6</v>
      </c>
      <c r="F34" s="256">
        <f>'FY 12.13 Budget Request'!N34</f>
        <v>122683</v>
      </c>
      <c r="G34" s="344">
        <f t="shared" si="0"/>
        <v>2.6644574431585202E-2</v>
      </c>
      <c r="H34" s="256">
        <f>'FY 12.13 Budget Request'!O34</f>
        <v>0</v>
      </c>
    </row>
    <row r="35" spans="1:8">
      <c r="A35" s="265" t="s">
        <v>2989</v>
      </c>
      <c r="B35" s="194" t="s">
        <v>2990</v>
      </c>
      <c r="C35" s="194"/>
      <c r="D35" s="256">
        <f>'FY 12.13 Budget Request'!K35</f>
        <v>199586</v>
      </c>
      <c r="E35" s="256">
        <f>'FY 12.13 Budget Request'!M35</f>
        <v>179699.12</v>
      </c>
      <c r="F35" s="256">
        <f>'FY 12.13 Budget Request'!N35</f>
        <v>193405</v>
      </c>
      <c r="G35" s="344">
        <f t="shared" si="0"/>
        <v>-3.0969106049522511E-2</v>
      </c>
      <c r="H35" s="256">
        <f>'FY 12.13 Budget Request'!O35</f>
        <v>0</v>
      </c>
    </row>
    <row r="36" spans="1:8">
      <c r="A36" s="265" t="s">
        <v>2991</v>
      </c>
      <c r="B36" s="194" t="s">
        <v>139</v>
      </c>
      <c r="C36" s="194"/>
      <c r="D36" s="256">
        <f>'FY 12.13 Budget Request'!K36</f>
        <v>60749</v>
      </c>
      <c r="E36" s="256">
        <f>'FY 12.13 Budget Request'!M36</f>
        <v>55927.169999999991</v>
      </c>
      <c r="F36" s="256">
        <f>'FY 12.13 Budget Request'!N36</f>
        <v>63448</v>
      </c>
      <c r="G36" s="344">
        <f t="shared" si="0"/>
        <v>4.4428714875965038E-2</v>
      </c>
      <c r="H36" s="256">
        <f>'FY 12.13 Budget Request'!O36</f>
        <v>0</v>
      </c>
    </row>
    <row r="37" spans="1:8">
      <c r="A37" s="265" t="s">
        <v>2992</v>
      </c>
      <c r="B37" s="194" t="s">
        <v>2993</v>
      </c>
      <c r="C37" s="194"/>
      <c r="D37" s="256">
        <f>'FY 12.13 Budget Request'!K37</f>
        <v>391264</v>
      </c>
      <c r="E37" s="256">
        <f>'FY 12.13 Budget Request'!M37</f>
        <v>384157</v>
      </c>
      <c r="F37" s="256">
        <f>'FY 12.13 Budget Request'!N37</f>
        <v>393346</v>
      </c>
      <c r="G37" s="344">
        <f t="shared" si="0"/>
        <v>5.3212153430931544E-3</v>
      </c>
      <c r="H37" s="256">
        <f>'FY 12.13 Budget Request'!O37</f>
        <v>0</v>
      </c>
    </row>
    <row r="38" spans="1:8">
      <c r="A38" s="265" t="s">
        <v>2994</v>
      </c>
      <c r="B38" s="194" t="s">
        <v>2995</v>
      </c>
      <c r="C38" s="194"/>
      <c r="D38" s="256">
        <f>'FY 12.13 Budget Request'!K38</f>
        <v>86586</v>
      </c>
      <c r="E38" s="256">
        <f>'FY 12.13 Budget Request'!M38</f>
        <v>86449.459999999992</v>
      </c>
      <c r="F38" s="256">
        <f>'FY 12.13 Budget Request'!N38</f>
        <v>98253</v>
      </c>
      <c r="G38" s="344">
        <f t="shared" si="0"/>
        <v>0.13474464694061394</v>
      </c>
      <c r="H38" s="256" t="str">
        <f>'FY 12.13 Budget Request'!O38</f>
        <v>Façade Grant Increase from Separate Fund</v>
      </c>
    </row>
    <row r="39" spans="1:8" ht="7.5" customHeight="1">
      <c r="A39" s="265"/>
      <c r="B39" s="194"/>
      <c r="C39" s="194"/>
      <c r="D39" s="194"/>
      <c r="E39" s="194"/>
      <c r="F39" s="194"/>
      <c r="H39" s="194"/>
    </row>
    <row r="40" spans="1:8" ht="15.75" thickBot="1">
      <c r="A40" s="265" t="s">
        <v>2618</v>
      </c>
      <c r="B40" s="194"/>
      <c r="C40" s="194"/>
      <c r="D40" s="258">
        <f>'FY 12.13 Budget Request'!K40</f>
        <v>6457922</v>
      </c>
      <c r="E40" s="258">
        <f>'FY 12.13 Budget Request'!M40</f>
        <v>6313068.2299999995</v>
      </c>
      <c r="F40" s="258">
        <f>'FY 12.13 Budget Request'!N40</f>
        <v>6498599.9100000001</v>
      </c>
      <c r="G40" s="343">
        <f>(F40-D40)/D40</f>
        <v>6.2989162767837937E-3</v>
      </c>
      <c r="H40" s="258">
        <f>'FY 12.13 Budget Request'!O40</f>
        <v>0</v>
      </c>
    </row>
    <row r="41" spans="1:8" ht="7.5" customHeight="1" thickTop="1">
      <c r="A41" s="265"/>
      <c r="B41" s="194"/>
      <c r="C41" s="194"/>
      <c r="D41" s="194"/>
      <c r="E41" s="194"/>
      <c r="F41" s="194"/>
      <c r="H41" s="194"/>
    </row>
    <row r="42" spans="1:8" ht="15.75" thickBot="1">
      <c r="A42" s="265" t="s">
        <v>2619</v>
      </c>
      <c r="B42" s="194"/>
      <c r="C42" s="194"/>
      <c r="D42" s="258">
        <f>'FY 12.13 Budget Request'!K42</f>
        <v>4551</v>
      </c>
      <c r="E42" s="258">
        <f>'FY 12.13 Budget Request'!M42</f>
        <v>121385.77000000048</v>
      </c>
      <c r="F42" s="258">
        <f>'FY 12.13 Budget Request'!N42</f>
        <v>121504.91944746021</v>
      </c>
      <c r="G42" s="272"/>
      <c r="H42" s="258">
        <f>'FY 12.13 Budget Request'!O42</f>
        <v>0</v>
      </c>
    </row>
    <row r="43" spans="1:8" ht="7.5" customHeight="1" thickTop="1">
      <c r="A43" s="265"/>
      <c r="B43" s="194"/>
      <c r="C43" s="194"/>
      <c r="D43" s="194"/>
      <c r="E43" s="194"/>
      <c r="F43" s="194"/>
      <c r="H43" s="194"/>
    </row>
    <row r="44" spans="1:8" ht="15.75" thickBot="1">
      <c r="A44" s="270" t="s">
        <v>3015</v>
      </c>
      <c r="B44" s="269"/>
      <c r="C44" s="269"/>
      <c r="D44" s="268">
        <f>'FY 12.13 Budget Request'!K44</f>
        <v>516091</v>
      </c>
      <c r="E44" s="268">
        <f>'FY 12.13 Budget Request'!M44</f>
        <v>632925.77000000048</v>
      </c>
      <c r="F44" s="268">
        <f>'FY 12.13 Budget Request'!N44</f>
        <v>754430.6894474607</v>
      </c>
      <c r="G44" s="274"/>
      <c r="H44" s="268">
        <f>'FY 12.13 Budget Request'!O44</f>
        <v>0</v>
      </c>
    </row>
    <row r="45" spans="1:8">
      <c r="B45" s="194"/>
      <c r="C45" s="194"/>
      <c r="D45" s="259" t="s">
        <v>2996</v>
      </c>
      <c r="E45" s="194" t="s">
        <v>2415</v>
      </c>
      <c r="H45" s="259" t="s">
        <v>3005</v>
      </c>
    </row>
    <row r="46" spans="1:8" s="194" customFormat="1">
      <c r="A46" s="263" t="s">
        <v>2405</v>
      </c>
      <c r="G46" s="259"/>
    </row>
    <row r="47" spans="1:8" s="194" customFormat="1">
      <c r="A47" s="263" t="s">
        <v>2954</v>
      </c>
      <c r="E47" s="260" t="s">
        <v>1964</v>
      </c>
      <c r="G47" s="260" t="s">
        <v>3010</v>
      </c>
      <c r="H47" s="260" t="s">
        <v>3009</v>
      </c>
    </row>
    <row r="48" spans="1:8" s="194" customFormat="1">
      <c r="A48" s="263"/>
      <c r="D48" s="260" t="s">
        <v>1956</v>
      </c>
      <c r="E48" s="260" t="s">
        <v>1965</v>
      </c>
      <c r="F48" s="260" t="s">
        <v>1968</v>
      </c>
      <c r="G48" s="260" t="s">
        <v>3011</v>
      </c>
      <c r="H48" s="260" t="s">
        <v>1968</v>
      </c>
    </row>
    <row r="49" spans="1:8" s="194" customFormat="1">
      <c r="A49" s="263"/>
      <c r="D49" s="260" t="s">
        <v>1961</v>
      </c>
      <c r="E49" s="260" t="s">
        <v>1966</v>
      </c>
      <c r="F49" s="260" t="s">
        <v>1961</v>
      </c>
      <c r="G49" s="260" t="s">
        <v>3012</v>
      </c>
      <c r="H49" s="260" t="s">
        <v>1961</v>
      </c>
    </row>
    <row r="50" spans="1:8" s="194" customFormat="1">
      <c r="A50" s="264" t="s">
        <v>2955</v>
      </c>
      <c r="B50" s="255" t="s">
        <v>2956</v>
      </c>
      <c r="C50" s="255"/>
      <c r="D50" s="261" t="s">
        <v>1967</v>
      </c>
      <c r="E50" s="261" t="s">
        <v>1967</v>
      </c>
      <c r="F50" s="261" t="s">
        <v>2485</v>
      </c>
      <c r="G50" s="261" t="s">
        <v>3013</v>
      </c>
      <c r="H50" s="261" t="s">
        <v>2485</v>
      </c>
    </row>
    <row r="51" spans="1:8" s="194" customFormat="1" ht="7.5" customHeight="1">
      <c r="A51" s="265"/>
      <c r="G51" s="259"/>
    </row>
    <row r="52" spans="1:8" s="194" customFormat="1">
      <c r="A52" s="263" t="s">
        <v>3008</v>
      </c>
      <c r="G52" s="259"/>
    </row>
    <row r="53" spans="1:8" s="194" customFormat="1" ht="7.5" customHeight="1">
      <c r="A53" s="265"/>
      <c r="G53" s="259"/>
    </row>
    <row r="54" spans="1:8">
      <c r="A54" s="263">
        <f>'FY 12.13 Budget Request'!D48</f>
        <v>4010.1010000000001</v>
      </c>
      <c r="B54" s="262" t="str">
        <f>'FY 12.13 Budget Request'!E48</f>
        <v>CURRENT AD VALOREM TAXES</v>
      </c>
      <c r="C54" s="194"/>
      <c r="D54" s="256">
        <f>'FY 12.13 Budget Request'!K48</f>
        <v>1286768</v>
      </c>
      <c r="E54" s="256">
        <f>'FY 12.13 Budget Request'!M48</f>
        <v>1299768</v>
      </c>
      <c r="F54" s="256">
        <f>'FY 12.13 Budget Request'!N48</f>
        <v>1290812.8294474606</v>
      </c>
      <c r="G54" s="344">
        <f t="shared" ref="G54:G86" si="1">(F54-D54)/D54</f>
        <v>3.1434022663452883E-3</v>
      </c>
      <c r="H54" s="256" t="str">
        <f>'FY 12.13 Budget Request'!O48</f>
        <v>same rate (.360778)</v>
      </c>
    </row>
    <row r="55" spans="1:8">
      <c r="A55" s="263">
        <f>'FY 12.13 Budget Request'!D49</f>
        <v>4010.1030000000001</v>
      </c>
      <c r="B55" s="262" t="str">
        <f>'FY 12.13 Budget Request'!E49</f>
        <v>DELINQUENT AD VALOREM TAXES</v>
      </c>
      <c r="C55" s="194"/>
      <c r="D55" s="256">
        <f>'FY 12.13 Budget Request'!K49</f>
        <v>55000</v>
      </c>
      <c r="E55" s="256">
        <f>'FY 12.13 Budget Request'!M49</f>
        <v>60000</v>
      </c>
      <c r="F55" s="256">
        <f>'FY 12.13 Budget Request'!N49</f>
        <v>57000</v>
      </c>
      <c r="G55" s="344">
        <f t="shared" si="1"/>
        <v>3.6363636363636362E-2</v>
      </c>
      <c r="H55" s="256">
        <f>'FY 12.13 Budget Request'!O49</f>
        <v>0</v>
      </c>
    </row>
    <row r="56" spans="1:8">
      <c r="A56" s="263">
        <f>'FY 12.13 Budget Request'!D50</f>
        <v>4010.105</v>
      </c>
      <c r="B56" s="262" t="str">
        <f>'FY 12.13 Budget Request'!E50</f>
        <v>PENALTY &amp; INTEREST-AD VALOREM</v>
      </c>
      <c r="C56" s="194"/>
      <c r="D56" s="256">
        <f>'FY 12.13 Budget Request'!K50</f>
        <v>40000</v>
      </c>
      <c r="E56" s="256">
        <f>'FY 12.13 Budget Request'!M50</f>
        <v>40000</v>
      </c>
      <c r="F56" s="256">
        <f>'FY 12.13 Budget Request'!N50</f>
        <v>41000</v>
      </c>
      <c r="G56" s="344">
        <f t="shared" si="1"/>
        <v>2.5000000000000001E-2</v>
      </c>
      <c r="H56" s="256">
        <f>'FY 12.13 Budget Request'!O50</f>
        <v>0</v>
      </c>
    </row>
    <row r="57" spans="1:8">
      <c r="A57" s="263">
        <f>'FY 12.13 Budget Request'!D51</f>
        <v>4030</v>
      </c>
      <c r="B57" s="262" t="str">
        <f>'FY 12.13 Budget Request'!E51</f>
        <v>SALES TAX - 1% CITY</v>
      </c>
      <c r="C57" s="194"/>
      <c r="D57" s="256">
        <f>'FY 12.13 Budget Request'!K51</f>
        <v>1193000</v>
      </c>
      <c r="E57" s="256">
        <f>'FY 12.13 Budget Request'!M51</f>
        <v>1190000</v>
      </c>
      <c r="F57" s="256">
        <f>'FY 12.13 Budget Request'!N51</f>
        <v>1200000</v>
      </c>
      <c r="G57" s="344">
        <f t="shared" si="1"/>
        <v>5.86756077116513E-3</v>
      </c>
      <c r="H57" s="256">
        <f>'FY 12.13 Budget Request'!O51</f>
        <v>0</v>
      </c>
    </row>
    <row r="58" spans="1:8">
      <c r="A58" s="263">
        <f>'FY 12.13 Budget Request'!D52</f>
        <v>4050</v>
      </c>
      <c r="B58" s="262" t="str">
        <f>'FY 12.13 Budget Request'!E52</f>
        <v>FRANCHISE TAX</v>
      </c>
      <c r="C58" s="194"/>
      <c r="D58" s="256">
        <f>'FY 12.13 Budget Request'!K52</f>
        <v>733000</v>
      </c>
      <c r="E58" s="256">
        <f>'FY 12.13 Budget Request'!M52</f>
        <v>720000</v>
      </c>
      <c r="F58" s="256">
        <f>'FY 12.13 Budget Request'!N52</f>
        <v>704000</v>
      </c>
      <c r="G58" s="344">
        <f t="shared" si="1"/>
        <v>-3.9563437926330151E-2</v>
      </c>
      <c r="H58" s="256" t="str">
        <f>'FY 12.13 Budget Request'!O52</f>
        <v>Down by $16k access channel escrow - 97</v>
      </c>
    </row>
    <row r="59" spans="1:8">
      <c r="A59" s="263">
        <f>'FY 12.13 Budget Request'!D53</f>
        <v>4070</v>
      </c>
      <c r="B59" s="262" t="str">
        <f>'FY 12.13 Budget Request'!E53</f>
        <v>MIXED DRINK TAX</v>
      </c>
      <c r="C59" s="194"/>
      <c r="D59" s="256">
        <f>'FY 12.13 Budget Request'!K53</f>
        <v>4000</v>
      </c>
      <c r="E59" s="256">
        <f>'FY 12.13 Budget Request'!M53</f>
        <v>4000</v>
      </c>
      <c r="F59" s="256">
        <f>'FY 12.13 Budget Request'!N53</f>
        <v>4000</v>
      </c>
      <c r="G59" s="344">
        <f t="shared" si="1"/>
        <v>0</v>
      </c>
      <c r="H59" s="256">
        <f>'FY 12.13 Budget Request'!O53</f>
        <v>0</v>
      </c>
    </row>
    <row r="60" spans="1:8">
      <c r="A60" s="263">
        <f>'FY 12.13 Budget Request'!D54</f>
        <v>4090</v>
      </c>
      <c r="B60" s="262" t="str">
        <f>'FY 12.13 Budget Request'!E54</f>
        <v>COURT TAX</v>
      </c>
      <c r="D60" s="256">
        <f>'FY 12.13 Budget Request'!K54</f>
        <v>150000</v>
      </c>
      <c r="E60" s="256">
        <f>'FY 12.13 Budget Request'!M54</f>
        <v>150000</v>
      </c>
      <c r="F60" s="256">
        <f>'FY 12.13 Budget Request'!N54</f>
        <v>150000</v>
      </c>
      <c r="G60" s="344">
        <f t="shared" si="1"/>
        <v>0</v>
      </c>
      <c r="H60" s="256">
        <f>'FY 12.13 Budget Request'!O54</f>
        <v>0</v>
      </c>
    </row>
    <row r="61" spans="1:8">
      <c r="A61" s="263">
        <f>'FY 12.13 Budget Request'!D55</f>
        <v>4130.2</v>
      </c>
      <c r="B61" s="262" t="str">
        <f>'FY 12.13 Budget Request'!E55</f>
        <v>TRANSFER FROM ENTERPRISE</v>
      </c>
      <c r="D61" s="256">
        <f>'FY 12.13 Budget Request'!K55</f>
        <v>672453</v>
      </c>
      <c r="E61" s="256">
        <f>'FY 12.13 Budget Request'!M55</f>
        <v>672453</v>
      </c>
      <c r="F61" s="256">
        <f>'FY 12.13 Budget Request'!N55</f>
        <v>560000</v>
      </c>
      <c r="G61" s="344">
        <f t="shared" si="1"/>
        <v>-0.16722804419044901</v>
      </c>
      <c r="H61" s="256" t="str">
        <f>'FY 12.13 Budget Request'!O55</f>
        <v>programmed decrease</v>
      </c>
    </row>
    <row r="62" spans="1:8">
      <c r="A62" s="263">
        <f>'FY 12.13 Budget Request'!D56</f>
        <v>4130.6000000000004</v>
      </c>
      <c r="B62" s="262" t="str">
        <f>'FY 12.13 Budget Request'!E56</f>
        <v>TRANSFER FROM PERPETUAL CARE</v>
      </c>
      <c r="D62" s="256">
        <f>'FY 12.13 Budget Request'!K56</f>
        <v>50000</v>
      </c>
      <c r="E62" s="256">
        <f>'FY 12.13 Budget Request'!M56</f>
        <v>50000</v>
      </c>
      <c r="F62" s="256">
        <f>'FY 12.13 Budget Request'!N56</f>
        <v>49750</v>
      </c>
      <c r="G62" s="344">
        <f t="shared" si="1"/>
        <v>-5.0000000000000001E-3</v>
      </c>
      <c r="H62" s="256" t="str">
        <f>'FY 12.13 Budget Request'!O56</f>
        <v>$14,750 added for mower</v>
      </c>
    </row>
    <row r="63" spans="1:8">
      <c r="A63" s="263">
        <f>'FY 12.13 Budget Request'!D57</f>
        <v>4130.75</v>
      </c>
      <c r="B63" s="262" t="str">
        <f>'FY 12.13 Budget Request'!E57</f>
        <v>TRANF FROM STREET ASSESSMENTS</v>
      </c>
      <c r="D63" s="256">
        <f>'FY 12.13 Budget Request'!K57</f>
        <v>0</v>
      </c>
      <c r="E63" s="256">
        <f>'FY 12.13 Budget Request'!M57</f>
        <v>0</v>
      </c>
      <c r="F63" s="256">
        <f>'FY 12.13 Budget Request'!N57</f>
        <v>0</v>
      </c>
      <c r="G63" s="344">
        <v>0</v>
      </c>
      <c r="H63" s="256">
        <f>'FY 12.13 Budget Request'!O57</f>
        <v>0</v>
      </c>
    </row>
    <row r="64" spans="1:8">
      <c r="A64" s="263">
        <f>'FY 12.13 Budget Request'!D58</f>
        <v>4150</v>
      </c>
      <c r="B64" s="262" t="str">
        <f>'FY 12.13 Budget Request'!E58</f>
        <v>FINES &amp; FORFEITURES</v>
      </c>
      <c r="D64" s="256">
        <f>'FY 12.13 Budget Request'!K58</f>
        <v>150000</v>
      </c>
      <c r="E64" s="256">
        <f>'FY 12.13 Budget Request'!M58</f>
        <v>140000</v>
      </c>
      <c r="F64" s="256">
        <f>'FY 12.13 Budget Request'!N58</f>
        <v>150000</v>
      </c>
      <c r="G64" s="344">
        <f t="shared" si="1"/>
        <v>0</v>
      </c>
      <c r="H64" s="256">
        <f>'FY 12.13 Budget Request'!O58</f>
        <v>0</v>
      </c>
    </row>
    <row r="65" spans="1:8">
      <c r="A65" s="263" t="str">
        <f>'FY 12.13 Budget Request'!D59</f>
        <v>4150.ADM</v>
      </c>
      <c r="B65" s="262" t="str">
        <f>'FY 12.13 Budget Request'!E59</f>
        <v>ADMIN FEES - COURT</v>
      </c>
      <c r="D65" s="256">
        <f>'FY 12.13 Budget Request'!K59</f>
        <v>0</v>
      </c>
      <c r="E65" s="256">
        <f>'FY 12.13 Budget Request'!M59</f>
        <v>603</v>
      </c>
      <c r="F65" s="256">
        <f>'FY 12.13 Budget Request'!N59</f>
        <v>0</v>
      </c>
      <c r="G65" s="344">
        <v>0</v>
      </c>
      <c r="H65" s="256">
        <f>'FY 12.13 Budget Request'!O59</f>
        <v>0</v>
      </c>
    </row>
    <row r="66" spans="1:8">
      <c r="A66" s="263" t="str">
        <f>'FY 12.13 Budget Request'!D60</f>
        <v>4150.COL</v>
      </c>
      <c r="B66" s="262" t="str">
        <f>'FY 12.13 Budget Request'!E60</f>
        <v>COLLECTION FEES-COURT</v>
      </c>
      <c r="D66" s="256">
        <f>'FY 12.13 Budget Request'!K60</f>
        <v>0</v>
      </c>
      <c r="E66" s="256">
        <f>'FY 12.13 Budget Request'!M60</f>
        <v>7550</v>
      </c>
      <c r="F66" s="256">
        <f>'FY 12.13 Budget Request'!N60</f>
        <v>7550</v>
      </c>
      <c r="G66" s="344">
        <v>0</v>
      </c>
      <c r="H66" s="256" t="str">
        <f>'FY 12.13 Budget Request'!O60</f>
        <v>also pays perdue collection attry fee out of this</v>
      </c>
    </row>
    <row r="67" spans="1:8">
      <c r="A67" s="263" t="str">
        <f>'FY 12.13 Budget Request'!D61</f>
        <v>4150.DEF</v>
      </c>
      <c r="B67" s="262" t="str">
        <f>'FY 12.13 Budget Request'!E61</f>
        <v>DEFERMENT FEE - COURT</v>
      </c>
      <c r="D67" s="256">
        <f>'FY 12.13 Budget Request'!K61</f>
        <v>0</v>
      </c>
      <c r="E67" s="256">
        <f>'FY 12.13 Budget Request'!M61</f>
        <v>1029</v>
      </c>
      <c r="F67" s="256">
        <f>'FY 12.13 Budget Request'!N61</f>
        <v>1200</v>
      </c>
      <c r="G67" s="344">
        <v>0</v>
      </c>
      <c r="H67" s="256">
        <f>'FY 12.13 Budget Request'!O61</f>
        <v>0</v>
      </c>
    </row>
    <row r="68" spans="1:8">
      <c r="A68" s="263" t="str">
        <f>'FY 12.13 Budget Request'!D62</f>
        <v>4150.DIS</v>
      </c>
      <c r="B68" s="262" t="str">
        <f>'FY 12.13 Budget Request'!E62</f>
        <v>DISMISSAL FEE - COURT</v>
      </c>
      <c r="D68" s="256">
        <f>'FY 12.13 Budget Request'!K62</f>
        <v>0</v>
      </c>
      <c r="E68" s="256">
        <f>'FY 12.13 Budget Request'!M62</f>
        <v>1013</v>
      </c>
      <c r="F68" s="256">
        <f>'FY 12.13 Budget Request'!N62</f>
        <v>1200</v>
      </c>
      <c r="G68" s="344">
        <v>0</v>
      </c>
      <c r="H68" s="256">
        <f>'FY 12.13 Budget Request'!O62</f>
        <v>0</v>
      </c>
    </row>
    <row r="69" spans="1:8">
      <c r="A69" s="263" t="str">
        <f>'FY 12.13 Budget Request'!D63</f>
        <v>4150.REF</v>
      </c>
      <c r="B69" s="262" t="str">
        <f>'FY 12.13 Budget Request'!E63</f>
        <v>FINES-REFUNDED TO STATE</v>
      </c>
      <c r="D69" s="256">
        <f>'FY 12.13 Budget Request'!K63</f>
        <v>0</v>
      </c>
      <c r="E69" s="256">
        <f>'FY 12.13 Budget Request'!M63</f>
        <v>0</v>
      </c>
      <c r="F69" s="256">
        <f>'FY 12.13 Budget Request'!N63</f>
        <v>0</v>
      </c>
      <c r="G69" s="344">
        <v>0</v>
      </c>
      <c r="H69" s="256" t="str">
        <f>'FY 12.13 Budget Request'!O63</f>
        <v>court expense to- 10.5123.5318.101</v>
      </c>
    </row>
    <row r="70" spans="1:8">
      <c r="A70" s="263" t="str">
        <f>'FY 12.13 Budget Request'!D64</f>
        <v>4150.SEC</v>
      </c>
      <c r="B70" s="262" t="str">
        <f>'FY 12.13 Budget Request'!E64</f>
        <v>BUILDING SECURITY FUND</v>
      </c>
      <c r="D70" s="256">
        <f>'FY 12.13 Budget Request'!K64</f>
        <v>3000</v>
      </c>
      <c r="E70" s="256">
        <f>'FY 12.13 Budget Request'!M64</f>
        <v>3000</v>
      </c>
      <c r="F70" s="256">
        <f>'FY 12.13 Budget Request'!N64</f>
        <v>3000</v>
      </c>
      <c r="G70" s="344">
        <f t="shared" si="1"/>
        <v>0</v>
      </c>
      <c r="H70" s="256">
        <f>'FY 12.13 Budget Request'!O64</f>
        <v>0</v>
      </c>
    </row>
    <row r="71" spans="1:8">
      <c r="A71" s="263" t="str">
        <f>'FY 12.13 Budget Request'!D65</f>
        <v>4150.SPX</v>
      </c>
      <c r="B71" s="262" t="str">
        <f>'FY 12.13 Budget Request'!E65</f>
        <v>SPECIAL EXPENSE FEES - COURT</v>
      </c>
      <c r="D71" s="256">
        <f>'FY 12.13 Budget Request'!K65</f>
        <v>0</v>
      </c>
      <c r="E71" s="256">
        <f>'FY 12.13 Budget Request'!M65</f>
        <v>9317</v>
      </c>
      <c r="F71" s="256">
        <f>'FY 12.13 Budget Request'!N65</f>
        <v>12000</v>
      </c>
      <c r="G71" s="344">
        <v>0</v>
      </c>
      <c r="H71" s="256">
        <f>'FY 12.13 Budget Request'!O65</f>
        <v>0</v>
      </c>
    </row>
    <row r="72" spans="1:8">
      <c r="A72" s="263" t="str">
        <f>'FY 12.13 Budget Request'!D66</f>
        <v>4150.TEC</v>
      </c>
      <c r="B72" s="262" t="str">
        <f>'FY 12.13 Budget Request'!E66</f>
        <v>COURT TECHNOLOGY FUND</v>
      </c>
      <c r="D72" s="256">
        <f>'FY 12.13 Budget Request'!K66</f>
        <v>4500</v>
      </c>
      <c r="E72" s="256">
        <f>'FY 12.13 Budget Request'!M66</f>
        <v>4500</v>
      </c>
      <c r="F72" s="256">
        <f>'FY 12.13 Budget Request'!N66</f>
        <v>4500</v>
      </c>
      <c r="G72" s="344">
        <f t="shared" si="1"/>
        <v>0</v>
      </c>
      <c r="H72" s="256">
        <f>'FY 12.13 Budget Request'!O66</f>
        <v>0</v>
      </c>
    </row>
    <row r="73" spans="1:8">
      <c r="A73" s="263">
        <f>'FY 12.13 Budget Request'!D67</f>
        <v>4170</v>
      </c>
      <c r="B73" s="262" t="str">
        <f>'FY 12.13 Budget Request'!E67</f>
        <v>CONTRACTS-FIRE &amp; AMBULANCE</v>
      </c>
      <c r="D73" s="256">
        <f>'FY 12.13 Budget Request'!K67</f>
        <v>113904</v>
      </c>
      <c r="E73" s="256">
        <f>'FY 12.13 Budget Request'!M67</f>
        <v>103431</v>
      </c>
      <c r="F73" s="256">
        <f>'FY 12.13 Budget Request'!N67</f>
        <v>102132</v>
      </c>
      <c r="G73" s="344">
        <f t="shared" si="1"/>
        <v>-0.10335018963337547</v>
      </c>
      <c r="H73" s="256">
        <f>'FY 12.13 Budget Request'!O67</f>
        <v>0</v>
      </c>
    </row>
    <row r="74" spans="1:8">
      <c r="A74" s="263">
        <f>'FY 12.13 Budget Request'!D68</f>
        <v>4190</v>
      </c>
      <c r="B74" s="262" t="str">
        <f>'FY 12.13 Budget Request'!E68</f>
        <v>AMBULANCE FEES</v>
      </c>
      <c r="D74" s="256">
        <f>'FY 12.13 Budget Request'!K68</f>
        <v>582000</v>
      </c>
      <c r="E74" s="256">
        <f>'FY 12.13 Budget Request'!M68</f>
        <v>558000</v>
      </c>
      <c r="F74" s="256">
        <f>'FY 12.13 Budget Request'!N68</f>
        <v>582800</v>
      </c>
      <c r="G74" s="344">
        <f t="shared" si="1"/>
        <v>1.3745704467353953E-3</v>
      </c>
      <c r="H74" s="256">
        <f>'FY 12.13 Budget Request'!O68</f>
        <v>0</v>
      </c>
    </row>
    <row r="75" spans="1:8">
      <c r="A75" s="263" t="str">
        <f>'FY 12.13 Budget Request'!D69</f>
        <v>4190.REF</v>
      </c>
      <c r="B75" s="262" t="str">
        <f>'FY 12.13 Budget Request'!E69</f>
        <v>AMBULANCE REFUNDS, DELINQUENTS</v>
      </c>
      <c r="D75" s="256">
        <f>'FY 12.13 Budget Request'!K69</f>
        <v>0</v>
      </c>
      <c r="E75" s="256">
        <f>'FY 12.13 Budget Request'!M69</f>
        <v>-1148</v>
      </c>
      <c r="F75" s="256">
        <f>'FY 12.13 Budget Request'!N69</f>
        <v>0</v>
      </c>
      <c r="G75" s="344">
        <v>0</v>
      </c>
      <c r="H75" s="256">
        <f>'FY 12.13 Budget Request'!O69</f>
        <v>0</v>
      </c>
    </row>
    <row r="76" spans="1:8">
      <c r="A76" s="263">
        <f>'FY 12.13 Budget Request'!D70</f>
        <v>4210</v>
      </c>
      <c r="B76" s="262" t="str">
        <f>'FY 12.13 Budget Request'!E70</f>
        <v>RENTALS &amp; LEASES</v>
      </c>
      <c r="D76" s="256">
        <f>'FY 12.13 Budget Request'!K70</f>
        <v>12000</v>
      </c>
      <c r="E76" s="256">
        <f>'FY 12.13 Budget Request'!M70</f>
        <v>11000</v>
      </c>
      <c r="F76" s="256">
        <f>'FY 12.13 Budget Request'!N70</f>
        <v>8000</v>
      </c>
      <c r="G76" s="344">
        <f t="shared" si="1"/>
        <v>-0.33333333333333331</v>
      </c>
      <c r="H76" s="256">
        <f>'FY 12.13 Budget Request'!O70</f>
        <v>0</v>
      </c>
    </row>
    <row r="77" spans="1:8">
      <c r="A77" s="263" t="str">
        <f>'FY 12.13 Budget Request'!D71</f>
        <v>4210.REF</v>
      </c>
      <c r="B77" s="262" t="str">
        <f>'FY 12.13 Budget Request'!E71</f>
        <v>CLUB HOUSE DEPOSIT REFUNDS</v>
      </c>
      <c r="D77" s="256">
        <f>'FY 12.13 Budget Request'!K71</f>
        <v>0</v>
      </c>
      <c r="E77" s="256">
        <f>'FY 12.13 Budget Request'!M71</f>
        <v>430</v>
      </c>
      <c r="F77" s="256">
        <f>'FY 12.13 Budget Request'!N71</f>
        <v>0</v>
      </c>
      <c r="G77" s="344">
        <v>0</v>
      </c>
      <c r="H77" s="256">
        <f>'FY 12.13 Budget Request'!O71</f>
        <v>0</v>
      </c>
    </row>
    <row r="78" spans="1:8">
      <c r="A78" s="263">
        <f>'FY 12.13 Budget Request'!D72</f>
        <v>4220</v>
      </c>
      <c r="B78" s="262" t="str">
        <f>'FY 12.13 Budget Request'!E72</f>
        <v>COMMUNITY EDUCATION REVENUE</v>
      </c>
      <c r="D78" s="256">
        <f>'FY 12.13 Budget Request'!K72</f>
        <v>0</v>
      </c>
      <c r="E78" s="256">
        <f>'FY 12.13 Budget Request'!M72</f>
        <v>1590</v>
      </c>
      <c r="F78" s="256">
        <f>'FY 12.13 Budget Request'!N72</f>
        <v>0</v>
      </c>
      <c r="G78" s="344">
        <v>0</v>
      </c>
      <c r="H78" s="256" t="str">
        <f>'FY 12.13 Budget Request'!O72</f>
        <v>CPR class revenue, not PEG channel revenue</v>
      </c>
    </row>
    <row r="79" spans="1:8">
      <c r="A79" s="263" t="str">
        <f>'FY 12.13 Budget Request'!D73</f>
        <v>4220.REF</v>
      </c>
      <c r="B79" s="262" t="str">
        <f>'FY 12.13 Budget Request'!E73</f>
        <v>FUNDS PAID OUT OF COM ED REV</v>
      </c>
      <c r="D79" s="256">
        <f>'FY 12.13 Budget Request'!K73</f>
        <v>0</v>
      </c>
      <c r="E79" s="256">
        <f>'FY 12.13 Budget Request'!M73</f>
        <v>-1548</v>
      </c>
      <c r="F79" s="256">
        <f>'FY 12.13 Budget Request'!N73</f>
        <v>0</v>
      </c>
      <c r="G79" s="344">
        <v>0</v>
      </c>
      <c r="H79" s="256">
        <f>'FY 12.13 Budget Request'!O73</f>
        <v>0</v>
      </c>
    </row>
    <row r="80" spans="1:8">
      <c r="A80" s="263">
        <f>'FY 12.13 Budget Request'!D74</f>
        <v>4230</v>
      </c>
      <c r="B80" s="262" t="str">
        <f>'FY 12.13 Budget Request'!E74</f>
        <v>HOUSING AUTHORITY-LIEU TAX</v>
      </c>
      <c r="D80" s="256">
        <f>'FY 12.13 Budget Request'!K74</f>
        <v>3000</v>
      </c>
      <c r="E80" s="256">
        <f>'FY 12.13 Budget Request'!M74</f>
        <v>3000</v>
      </c>
      <c r="F80" s="256">
        <f>'FY 12.13 Budget Request'!N74</f>
        <v>3400</v>
      </c>
      <c r="G80" s="344">
        <f t="shared" si="1"/>
        <v>0.13333333333333333</v>
      </c>
      <c r="H80" s="256" t="str">
        <f>'FY 12.13 Budget Request'!O74</f>
        <v>We need to check on this</v>
      </c>
    </row>
    <row r="81" spans="1:8">
      <c r="A81" s="263">
        <f>'FY 12.13 Budget Request'!D75</f>
        <v>4250</v>
      </c>
      <c r="B81" s="262" t="str">
        <f>'FY 12.13 Budget Request'!E75</f>
        <v>PERMITS</v>
      </c>
      <c r="D81" s="256">
        <f>'FY 12.13 Budget Request'!K75</f>
        <v>10000</v>
      </c>
      <c r="E81" s="256">
        <f>'FY 12.13 Budget Request'!M75</f>
        <v>14000</v>
      </c>
      <c r="F81" s="256">
        <f>'FY 12.13 Budget Request'!N75</f>
        <v>11000</v>
      </c>
      <c r="G81" s="344">
        <f t="shared" si="1"/>
        <v>0.1</v>
      </c>
      <c r="H81" s="256">
        <f>'FY 12.13 Budget Request'!O75</f>
        <v>0</v>
      </c>
    </row>
    <row r="82" spans="1:8">
      <c r="A82" s="263">
        <f>'FY 12.13 Budget Request'!D76</f>
        <v>4270</v>
      </c>
      <c r="B82" s="262" t="str">
        <f>'FY 12.13 Budget Request'!E76</f>
        <v>PLUMBING INSPECTION FEES</v>
      </c>
      <c r="D82" s="256">
        <f>'FY 12.13 Budget Request'!K76</f>
        <v>300</v>
      </c>
      <c r="E82" s="256">
        <f>'FY 12.13 Budget Request'!M76</f>
        <v>100</v>
      </c>
      <c r="F82" s="256">
        <f>'FY 12.13 Budget Request'!N76</f>
        <v>300</v>
      </c>
      <c r="G82" s="344">
        <f t="shared" si="1"/>
        <v>0</v>
      </c>
      <c r="H82" s="256">
        <f>'FY 12.13 Budget Request'!O76</f>
        <v>0</v>
      </c>
    </row>
    <row r="83" spans="1:8">
      <c r="A83" s="263">
        <f>'FY 12.13 Budget Request'!D77</f>
        <v>4290</v>
      </c>
      <c r="B83" s="262" t="str">
        <f>'FY 12.13 Budget Request'!E77</f>
        <v>CEMETERY INCOME</v>
      </c>
      <c r="D83" s="256">
        <f>'FY 12.13 Budget Request'!K77</f>
        <v>0</v>
      </c>
      <c r="E83" s="256">
        <f>'FY 12.13 Budget Request'!M77</f>
        <v>0</v>
      </c>
      <c r="F83" s="256">
        <f>'FY 12.13 Budget Request'!N77</f>
        <v>0</v>
      </c>
      <c r="G83" s="344">
        <v>0</v>
      </c>
      <c r="H83" s="256">
        <f>'FY 12.13 Budget Request'!O77</f>
        <v>0</v>
      </c>
    </row>
    <row r="84" spans="1:8">
      <c r="A84" s="263" t="str">
        <f>'FY 12.13 Budget Request'!D78</f>
        <v>4290.LOT</v>
      </c>
      <c r="B84" s="262" t="str">
        <f>'FY 12.13 Budget Request'!E78</f>
        <v>CEMETERY LOTS SOLD</v>
      </c>
      <c r="D84" s="256">
        <f>'FY 12.13 Budget Request'!K78</f>
        <v>8000</v>
      </c>
      <c r="E84" s="256">
        <f>'FY 12.13 Budget Request'!M78</f>
        <v>10000</v>
      </c>
      <c r="F84" s="256">
        <f>'FY 12.13 Budget Request'!N78</f>
        <v>10000</v>
      </c>
      <c r="G84" s="344">
        <f t="shared" si="1"/>
        <v>0.25</v>
      </c>
      <c r="H84" s="256">
        <f>'FY 12.13 Budget Request'!O78</f>
        <v>0</v>
      </c>
    </row>
    <row r="85" spans="1:8">
      <c r="A85" s="263" t="str">
        <f>'FY 12.13 Budget Request'!D79</f>
        <v>4290.O&amp;C</v>
      </c>
      <c r="B85" s="262" t="str">
        <f>'FY 12.13 Budget Request'!E79</f>
        <v>CEMETERY OPEN/CLOSE</v>
      </c>
      <c r="D85" s="256">
        <f>'FY 12.13 Budget Request'!K79</f>
        <v>59500</v>
      </c>
      <c r="E85" s="256">
        <f>'FY 12.13 Budget Request'!M79</f>
        <v>57000</v>
      </c>
      <c r="F85" s="256">
        <f>'FY 12.13 Budget Request'!N79</f>
        <v>58000</v>
      </c>
      <c r="G85" s="344">
        <f t="shared" si="1"/>
        <v>-2.5210084033613446E-2</v>
      </c>
      <c r="H85" s="256">
        <f>'FY 12.13 Budget Request'!O79</f>
        <v>0</v>
      </c>
    </row>
    <row r="86" spans="1:8">
      <c r="A86" s="263" t="str">
        <f>'FY 12.13 Budget Request'!D80</f>
        <v>4290.OVT</v>
      </c>
      <c r="B86" s="262" t="str">
        <f>'FY 12.13 Budget Request'!E80</f>
        <v>CEMETERY OVERTIME CHARGED</v>
      </c>
      <c r="D86" s="256">
        <f>'FY 12.13 Budget Request'!K80</f>
        <v>2500</v>
      </c>
      <c r="E86" s="256">
        <f>'FY 12.13 Budget Request'!M80</f>
        <v>2000</v>
      </c>
      <c r="F86" s="256">
        <f>'FY 12.13 Budget Request'!N80</f>
        <v>2000</v>
      </c>
      <c r="G86" s="344">
        <f t="shared" si="1"/>
        <v>-0.2</v>
      </c>
      <c r="H86" s="256">
        <f>'FY 12.13 Budget Request'!O80</f>
        <v>0</v>
      </c>
    </row>
    <row r="87" spans="1:8" s="194" customFormat="1">
      <c r="A87" s="263"/>
      <c r="D87" s="259" t="s">
        <v>2996</v>
      </c>
      <c r="E87" s="194" t="s">
        <v>2415</v>
      </c>
      <c r="G87" s="259"/>
      <c r="H87" s="259" t="s">
        <v>3006</v>
      </c>
    </row>
    <row r="88" spans="1:8" s="194" customFormat="1">
      <c r="A88" s="263" t="s">
        <v>2405</v>
      </c>
      <c r="G88" s="259"/>
    </row>
    <row r="89" spans="1:8" s="194" customFormat="1">
      <c r="A89" s="263" t="s">
        <v>2954</v>
      </c>
      <c r="E89" s="260" t="s">
        <v>1964</v>
      </c>
      <c r="G89" s="260" t="s">
        <v>3010</v>
      </c>
      <c r="H89" s="260" t="s">
        <v>3009</v>
      </c>
    </row>
    <row r="90" spans="1:8" s="194" customFormat="1">
      <c r="A90" s="263"/>
      <c r="D90" s="260" t="s">
        <v>1956</v>
      </c>
      <c r="E90" s="260" t="s">
        <v>1965</v>
      </c>
      <c r="F90" s="260" t="s">
        <v>1968</v>
      </c>
      <c r="G90" s="260" t="s">
        <v>3011</v>
      </c>
      <c r="H90" s="260" t="s">
        <v>1968</v>
      </c>
    </row>
    <row r="91" spans="1:8" s="194" customFormat="1">
      <c r="A91" s="263"/>
      <c r="D91" s="260" t="s">
        <v>1961</v>
      </c>
      <c r="E91" s="260" t="s">
        <v>1966</v>
      </c>
      <c r="F91" s="260" t="s">
        <v>1961</v>
      </c>
      <c r="G91" s="260" t="s">
        <v>3012</v>
      </c>
      <c r="H91" s="260" t="s">
        <v>1961</v>
      </c>
    </row>
    <row r="92" spans="1:8" s="194" customFormat="1">
      <c r="A92" s="264" t="s">
        <v>2955</v>
      </c>
      <c r="B92" s="255" t="s">
        <v>2956</v>
      </c>
      <c r="C92" s="255"/>
      <c r="D92" s="261" t="s">
        <v>1967</v>
      </c>
      <c r="E92" s="261" t="s">
        <v>1967</v>
      </c>
      <c r="F92" s="261" t="s">
        <v>2485</v>
      </c>
      <c r="G92" s="261" t="s">
        <v>3013</v>
      </c>
      <c r="H92" s="261" t="s">
        <v>2485</v>
      </c>
    </row>
    <row r="93" spans="1:8" s="194" customFormat="1" ht="7.5" customHeight="1">
      <c r="A93" s="263"/>
      <c r="B93" s="262"/>
      <c r="D93" s="256"/>
      <c r="E93" s="256"/>
      <c r="F93" s="256"/>
      <c r="G93" s="273"/>
    </row>
    <row r="94" spans="1:8">
      <c r="A94" s="263">
        <f>'FY 12.13 Budget Request'!D81</f>
        <v>4310</v>
      </c>
      <c r="B94" s="262" t="str">
        <f>'FY 12.13 Budget Request'!E81</f>
        <v>AQUATIC CTR INCOME</v>
      </c>
      <c r="D94" s="256">
        <f>'FY 12.13 Budget Request'!K81</f>
        <v>108941</v>
      </c>
      <c r="E94" s="256">
        <f>'FY 12.13 Budget Request'!M81</f>
        <v>0</v>
      </c>
      <c r="F94" s="256">
        <f>'FY 12.13 Budget Request'!N81</f>
        <v>0</v>
      </c>
      <c r="G94" s="344">
        <f t="shared" ref="G94:G100" si="2">(F94-D94)/D94</f>
        <v>-1</v>
      </c>
      <c r="H94" s="256">
        <f>'FY 12.13 Budget Request'!O81</f>
        <v>0</v>
      </c>
    </row>
    <row r="95" spans="1:8">
      <c r="A95" s="263">
        <f>'FY 12.13 Budget Request'!D82</f>
        <v>4310.1000000000004</v>
      </c>
      <c r="B95" s="262" t="str">
        <f>'FY 12.13 Budget Request'!E82</f>
        <v>AQUATIC CTR PASSES</v>
      </c>
      <c r="D95" s="256">
        <f>'FY 12.13 Budget Request'!K82</f>
        <v>0</v>
      </c>
      <c r="E95" s="256">
        <f>'FY 12.13 Budget Request'!M82</f>
        <v>3600</v>
      </c>
      <c r="F95" s="256">
        <f>'FY 12.13 Budget Request'!N82</f>
        <v>3312</v>
      </c>
      <c r="G95" s="344"/>
      <c r="H95" s="256" t="str">
        <f>'FY 12.13 Budget Request'!O82</f>
        <v>Less tax</v>
      </c>
    </row>
    <row r="96" spans="1:8">
      <c r="A96" s="263">
        <f>'FY 12.13 Budget Request'!D83</f>
        <v>4310.2</v>
      </c>
      <c r="B96" s="262" t="str">
        <f>'FY 12.13 Budget Request'!E83</f>
        <v>AQUATIC CTR GATE FEES</v>
      </c>
      <c r="D96" s="256">
        <f>'FY 12.13 Budget Request'!K83</f>
        <v>0</v>
      </c>
      <c r="E96" s="256">
        <f>'FY 12.13 Budget Request'!M83</f>
        <v>78000</v>
      </c>
      <c r="F96" s="256">
        <f>'FY 12.13 Budget Request'!N83</f>
        <v>69000</v>
      </c>
      <c r="G96" s="344"/>
      <c r="H96" s="256" t="str">
        <f>'FY 12.13 Budget Request'!O83</f>
        <v>Less Tax</v>
      </c>
    </row>
    <row r="97" spans="1:8">
      <c r="A97" s="263">
        <f>'FY 12.13 Budget Request'!D84</f>
        <v>4310.3</v>
      </c>
      <c r="B97" s="262" t="str">
        <f>'FY 12.13 Budget Request'!E84</f>
        <v>AQUATIC CTR RENTALS</v>
      </c>
      <c r="D97" s="256">
        <f>'FY 12.13 Budget Request'!K84</f>
        <v>0</v>
      </c>
      <c r="E97" s="256">
        <f>'FY 12.13 Budget Request'!M84</f>
        <v>6000</v>
      </c>
      <c r="F97" s="256">
        <f>'FY 12.13 Budget Request'!N84</f>
        <v>11040</v>
      </c>
      <c r="G97" s="344"/>
      <c r="H97" s="256" t="str">
        <f>'FY 12.13 Budget Request'!O84</f>
        <v>Less Tax</v>
      </c>
    </row>
    <row r="98" spans="1:8">
      <c r="A98" s="263">
        <f>'FY 12.13 Budget Request'!D85</f>
        <v>4310.3999999999996</v>
      </c>
      <c r="B98" s="262" t="str">
        <f>'FY 12.13 Budget Request'!E85</f>
        <v>AQUATIC CTR CONCESSIONS</v>
      </c>
      <c r="D98" s="256">
        <f>'FY 12.13 Budget Request'!K85</f>
        <v>0</v>
      </c>
      <c r="E98" s="256">
        <f>'FY 12.13 Budget Request'!M85</f>
        <v>31000</v>
      </c>
      <c r="F98" s="256">
        <f>'FY 12.13 Budget Request'!N85</f>
        <v>27600</v>
      </c>
      <c r="G98" s="344"/>
      <c r="H98" s="256" t="str">
        <f>'FY 12.13 Budget Request'!O85</f>
        <v>2X Food Expense Less tax</v>
      </c>
    </row>
    <row r="99" spans="1:8">
      <c r="A99" s="263" t="str">
        <f>'FY 12.13 Budget Request'!D86</f>
        <v>4310.REF</v>
      </c>
      <c r="B99" s="262" t="str">
        <f>'FY 12.13 Budget Request'!E86</f>
        <v>AQUATIC CTR REFUND</v>
      </c>
      <c r="D99" s="256">
        <f>'FY 12.13 Budget Request'!K86</f>
        <v>0</v>
      </c>
      <c r="E99" s="256">
        <f>'FY 12.13 Budget Request'!M86</f>
        <v>0</v>
      </c>
      <c r="F99" s="256">
        <f>'FY 12.13 Budget Request'!N86</f>
        <v>0</v>
      </c>
      <c r="G99" s="344">
        <v>0</v>
      </c>
      <c r="H99" s="256">
        <f>'FY 12.13 Budget Request'!O86</f>
        <v>0</v>
      </c>
    </row>
    <row r="100" spans="1:8">
      <c r="A100" s="263">
        <f>'FY 12.13 Budget Request'!D87</f>
        <v>4330</v>
      </c>
      <c r="B100" s="262" t="str">
        <f>'FY 12.13 Budget Request'!E87</f>
        <v>INTEREST INCOME-GENERAL</v>
      </c>
      <c r="D100" s="256">
        <f>'FY 12.13 Budget Request'!K87</f>
        <v>9000</v>
      </c>
      <c r="E100" s="256">
        <f>'FY 12.13 Budget Request'!M87</f>
        <v>3000</v>
      </c>
      <c r="F100" s="256">
        <f>'FY 12.13 Budget Request'!N87</f>
        <v>3000</v>
      </c>
      <c r="G100" s="344">
        <f t="shared" si="2"/>
        <v>-0.66666666666666663</v>
      </c>
      <c r="H100" s="256">
        <f>'FY 12.13 Budget Request'!O87</f>
        <v>0</v>
      </c>
    </row>
    <row r="101" spans="1:8">
      <c r="A101" s="263">
        <f>'FY 12.13 Budget Request'!D88</f>
        <v>4370</v>
      </c>
      <c r="B101" s="262" t="str">
        <f>'FY 12.13 Budget Request'!E88</f>
        <v>DAMAGES TO CITY PROPERTY</v>
      </c>
      <c r="D101" s="256">
        <f>'FY 12.13 Budget Request'!K88</f>
        <v>1000</v>
      </c>
      <c r="E101" s="256">
        <f>'FY 12.13 Budget Request'!M88</f>
        <v>3000</v>
      </c>
      <c r="F101" s="256">
        <f>'FY 12.13 Budget Request'!N88</f>
        <v>3000</v>
      </c>
      <c r="G101" s="344">
        <f t="shared" ref="G101:G120" si="3">(F101-D101)/D101</f>
        <v>2</v>
      </c>
      <c r="H101" s="256">
        <f>'FY 12.13 Budget Request'!O88</f>
        <v>0</v>
      </c>
    </row>
    <row r="102" spans="1:8">
      <c r="A102" s="263">
        <f>'FY 12.13 Budget Request'!D89</f>
        <v>4371.1009999999997</v>
      </c>
      <c r="B102" s="262" t="str">
        <f>'FY 12.13 Budget Request'!E89</f>
        <v>ADMINISTRATIVE CHG FROM ENTERP</v>
      </c>
      <c r="D102" s="256">
        <f>'FY 12.13 Budget Request'!K89</f>
        <v>675881</v>
      </c>
      <c r="E102" s="256">
        <f>'FY 12.13 Budget Request'!M89</f>
        <v>675881</v>
      </c>
      <c r="F102" s="256">
        <f>'FY 12.13 Budget Request'!N89</f>
        <v>899571</v>
      </c>
      <c r="G102" s="344">
        <f t="shared" si="3"/>
        <v>0.33096062768445922</v>
      </c>
      <c r="H102" s="256" t="str">
        <f>'FY 12.13 Budget Request'!O89</f>
        <v>increased per bond counsel recommendation</v>
      </c>
    </row>
    <row r="103" spans="1:8">
      <c r="A103" s="263">
        <f>'FY 12.13 Budget Request'!D90</f>
        <v>4371.1030000000001</v>
      </c>
      <c r="B103" s="262" t="str">
        <f>'FY 12.13 Budget Request'!E90</f>
        <v>IN-LIEU SALES TAX FROM ENTERPR</v>
      </c>
      <c r="D103" s="256">
        <f>'FY 12.13 Budget Request'!K90</f>
        <v>63032</v>
      </c>
      <c r="E103" s="256">
        <f>'FY 12.13 Budget Request'!M90</f>
        <v>63032</v>
      </c>
      <c r="F103" s="256">
        <f>'FY 12.13 Budget Request'!N90</f>
        <v>81933</v>
      </c>
      <c r="G103" s="344">
        <f t="shared" si="3"/>
        <v>0.29986356136565556</v>
      </c>
      <c r="H103" s="256" t="str">
        <f>'FY 12.13 Budget Request'!O90</f>
        <v>increased per bond counsel recommendation</v>
      </c>
    </row>
    <row r="104" spans="1:8">
      <c r="A104" s="263">
        <f>'FY 12.13 Budget Request'!D91</f>
        <v>4371.1049999999996</v>
      </c>
      <c r="B104" s="262" t="str">
        <f>'FY 12.13 Budget Request'!E91</f>
        <v>IN-LIEU FRANCHISE TAX-ENTERPRI</v>
      </c>
      <c r="D104" s="256">
        <f>'FY 12.13 Budget Request'!K91</f>
        <v>277405</v>
      </c>
      <c r="E104" s="256">
        <f>'FY 12.13 Budget Request'!M91</f>
        <v>277405</v>
      </c>
      <c r="F104" s="256">
        <f>'FY 12.13 Budget Request'!N91</f>
        <v>305377</v>
      </c>
      <c r="G104" s="344">
        <f t="shared" si="3"/>
        <v>0.10083451992574034</v>
      </c>
      <c r="H104" s="256" t="str">
        <f>'FY 12.13 Budget Request'!O91</f>
        <v>increased per bond counsel recommendation</v>
      </c>
    </row>
    <row r="105" spans="1:8">
      <c r="A105" s="263">
        <f>'FY 12.13 Budget Request'!D92</f>
        <v>4371.107</v>
      </c>
      <c r="B105" s="194" t="str">
        <f>'FY 12.13 Budget Request'!E92</f>
        <v>IN-LIEU AD VALOREM TAX-ENTERPR</v>
      </c>
      <c r="D105" s="256">
        <f>'FY 12.13 Budget Request'!K92</f>
        <v>79948</v>
      </c>
      <c r="E105" s="256">
        <f>'FY 12.13 Budget Request'!M92</f>
        <v>79948</v>
      </c>
      <c r="F105" s="256">
        <f>'FY 12.13 Budget Request'!N92</f>
        <v>139127</v>
      </c>
      <c r="G105" s="344">
        <f t="shared" si="3"/>
        <v>0.74021864211737631</v>
      </c>
      <c r="H105" s="256" t="str">
        <f>'FY 12.13 Budget Request'!O92</f>
        <v>increased per bond counsel recommendation</v>
      </c>
    </row>
    <row r="106" spans="1:8">
      <c r="A106" s="263">
        <f>'FY 12.13 Budget Request'!D93</f>
        <v>4690</v>
      </c>
      <c r="B106" s="194" t="str">
        <f>'FY 12.13 Budget Request'!E93</f>
        <v>DONATIONS RECEIVED</v>
      </c>
      <c r="D106" s="256">
        <f>'FY 12.13 Budget Request'!K93</f>
        <v>36000</v>
      </c>
      <c r="E106" s="256">
        <f>'FY 12.13 Budget Request'!M93</f>
        <v>0</v>
      </c>
      <c r="F106" s="256">
        <f>'FY 12.13 Budget Request'!N93</f>
        <v>0</v>
      </c>
      <c r="G106" s="344">
        <f t="shared" si="3"/>
        <v>-1</v>
      </c>
      <c r="H106" s="256" t="str">
        <f>'FY 12.13 Budget Request'!O93</f>
        <v>Pool Debt accounted for separately in F70</v>
      </c>
    </row>
    <row r="107" spans="1:8">
      <c r="A107" s="263">
        <f>'FY 12.13 Budget Request'!D94</f>
        <v>4690.3</v>
      </c>
      <c r="B107" s="194" t="str">
        <f>'FY 12.13 Budget Request'!E94</f>
        <v>MAIN STREET TRANSFER IN</v>
      </c>
      <c r="D107" s="256">
        <f>'FY 12.13 Budget Request'!K94</f>
        <v>15500</v>
      </c>
      <c r="E107" s="256">
        <f>'FY 12.13 Budget Request'!M94</f>
        <v>15500</v>
      </c>
      <c r="F107" s="256">
        <f>'FY 12.13 Budget Request'!N94</f>
        <v>10000</v>
      </c>
      <c r="G107" s="344">
        <f t="shared" si="3"/>
        <v>-0.35483870967741937</v>
      </c>
      <c r="H107" s="256" t="str">
        <f>'FY 12.13 Budget Request'!O94</f>
        <v>MS funds</v>
      </c>
    </row>
    <row r="108" spans="1:8">
      <c r="A108" s="263" t="str">
        <f>'FY 12.13 Budget Request'!D95</f>
        <v>4690.REF</v>
      </c>
      <c r="B108" s="194" t="str">
        <f>'FY 12.13 Budget Request'!E95</f>
        <v>FUNDS PAID OUT OF DONATIONS</v>
      </c>
      <c r="D108" s="256">
        <f>'FY 12.13 Budget Request'!K95</f>
        <v>0</v>
      </c>
      <c r="E108" s="256">
        <f>'FY 12.13 Budget Request'!M95</f>
        <v>0</v>
      </c>
      <c r="F108" s="256">
        <f>'FY 12.13 Budget Request'!N95</f>
        <v>0</v>
      </c>
      <c r="G108" s="344">
        <v>0</v>
      </c>
      <c r="H108" s="256">
        <f>'FY 12.13 Budget Request'!O95</f>
        <v>0</v>
      </c>
    </row>
    <row r="109" spans="1:8">
      <c r="A109" s="263" t="str">
        <f>'FY 12.13 Budget Request'!D96</f>
        <v>4691.FAC</v>
      </c>
      <c r="B109" s="194" t="str">
        <f>'FY 12.13 Budget Request'!E96</f>
        <v>FAÇADE RENOVATION REVENUE</v>
      </c>
      <c r="D109" s="256">
        <f>'FY 12.13 Budget Request'!K96</f>
        <v>0</v>
      </c>
      <c r="E109" s="256">
        <f>'FY 12.13 Budget Request'!M96</f>
        <v>0</v>
      </c>
      <c r="F109" s="256">
        <f>'FY 12.13 Budget Request'!N96</f>
        <v>7500</v>
      </c>
      <c r="G109" s="344"/>
      <c r="H109" s="256" t="str">
        <f>'FY 12.13 Budget Request'!O96</f>
        <v>HOT Funds</v>
      </c>
    </row>
    <row r="110" spans="1:8">
      <c r="A110" s="263" t="str">
        <f>'FY 12.13 Budget Request'!D97</f>
        <v>4691.REV</v>
      </c>
      <c r="B110" s="194" t="str">
        <f>'FY 12.13 Budget Request'!E97</f>
        <v>REVOLVING LOAN FUND REVENUE</v>
      </c>
      <c r="D110" s="256">
        <f>'FY 12.13 Budget Request'!K97</f>
        <v>0</v>
      </c>
      <c r="E110" s="256">
        <f>'FY 12.13 Budget Request'!M97</f>
        <v>0</v>
      </c>
      <c r="F110" s="256">
        <f>'FY 12.13 Budget Request'!N97</f>
        <v>0</v>
      </c>
      <c r="G110" s="344" t="s">
        <v>3019</v>
      </c>
      <c r="H110" s="256">
        <f>'FY 12.13 Budget Request'!O97</f>
        <v>0</v>
      </c>
    </row>
    <row r="111" spans="1:8">
      <c r="A111" s="263">
        <f>'FY 12.13 Budget Request'!D98</f>
        <v>4890</v>
      </c>
      <c r="B111" s="194" t="str">
        <f>'FY 12.13 Budget Request'!E98</f>
        <v>MISCELLANEOUS REVENUE</v>
      </c>
      <c r="D111" s="256">
        <f>'FY 12.13 Budget Request'!K98</f>
        <v>33000</v>
      </c>
      <c r="E111" s="256">
        <f>'FY 12.13 Budget Request'!M98</f>
        <v>62000</v>
      </c>
      <c r="F111" s="256">
        <f>'FY 12.13 Budget Request'!N98</f>
        <v>25000</v>
      </c>
      <c r="G111" s="344">
        <f t="shared" si="3"/>
        <v>-0.24242424242424243</v>
      </c>
      <c r="H111" s="256" t="str">
        <f>'FY 12.13 Budget Request'!O98</f>
        <v>Add  15kSeco grant  (FYE 2012)+20K Fire deployments</v>
      </c>
    </row>
    <row r="112" spans="1:8">
      <c r="A112" s="263">
        <f>'FY 12.13 Budget Request'!D99</f>
        <v>4890.1000000000004</v>
      </c>
      <c r="B112" s="194" t="str">
        <f>'FY 12.13 Budget Request'!E99</f>
        <v>MISC REVENUE - CODE ENFORCEMNT</v>
      </c>
      <c r="D112" s="256">
        <f>'FY 12.13 Budget Request'!K99</f>
        <v>2000</v>
      </c>
      <c r="E112" s="256">
        <f>'FY 12.13 Budget Request'!M99</f>
        <v>3500</v>
      </c>
      <c r="F112" s="256">
        <f>'FY 12.13 Budget Request'!N99</f>
        <v>2000</v>
      </c>
      <c r="G112" s="344">
        <f t="shared" si="3"/>
        <v>0</v>
      </c>
      <c r="H112" s="256">
        <f>'FY 12.13 Budget Request'!O99</f>
        <v>0</v>
      </c>
    </row>
    <row r="113" spans="1:8">
      <c r="A113" s="263">
        <f>'FY 12.13 Budget Request'!D100</f>
        <v>4890.1890000000003</v>
      </c>
      <c r="B113" s="194" t="str">
        <f>'FY 12.13 Budget Request'!E100</f>
        <v>SALE OF SURPLUS PROPERTY</v>
      </c>
      <c r="D113" s="256">
        <f>'FY 12.13 Budget Request'!K100</f>
        <v>15200</v>
      </c>
      <c r="E113" s="256">
        <f>'FY 12.13 Budget Request'!M100</f>
        <v>12000</v>
      </c>
      <c r="F113" s="256">
        <f>'FY 12.13 Budget Request'!N100</f>
        <v>12000</v>
      </c>
      <c r="G113" s="344">
        <f t="shared" si="3"/>
        <v>-0.21052631578947367</v>
      </c>
      <c r="H113" s="256">
        <f>'FY 12.13 Budget Request'!O100</f>
        <v>0</v>
      </c>
    </row>
    <row r="114" spans="1:8">
      <c r="A114" s="263" t="str">
        <f>'FY 12.13 Budget Request'!D101</f>
        <v>4890.REF</v>
      </c>
      <c r="B114" s="194" t="str">
        <f>'FY 12.13 Budget Request'!E101</f>
        <v>FUNDS PAID OUT OF COLLECTIONS</v>
      </c>
      <c r="D114" s="256">
        <f>'FY 12.13 Budget Request'!K101</f>
        <v>0</v>
      </c>
      <c r="E114" s="256">
        <f>'FY 12.13 Budget Request'!M101</f>
        <v>0</v>
      </c>
      <c r="F114" s="256">
        <f>'FY 12.13 Budget Request'!N101</f>
        <v>0</v>
      </c>
      <c r="G114" s="344">
        <v>0</v>
      </c>
      <c r="H114" s="256">
        <f>'FY 12.13 Budget Request'!O101</f>
        <v>0</v>
      </c>
    </row>
    <row r="115" spans="1:8">
      <c r="A115" s="263">
        <f>'FY 12.13 Budget Request'!D102</f>
        <v>4990</v>
      </c>
      <c r="B115" s="194" t="str">
        <f>'FY 12.13 Budget Request'!E102</f>
        <v>GRANT REVENUE</v>
      </c>
      <c r="D115" s="256">
        <f>'FY 12.13 Budget Request'!K102</f>
        <v>0</v>
      </c>
      <c r="E115" s="256">
        <f>'FY 12.13 Budget Request'!M102</f>
        <v>0</v>
      </c>
      <c r="F115" s="256">
        <f>'FY 12.13 Budget Request'!N102</f>
        <v>0</v>
      </c>
      <c r="G115" s="344">
        <v>0</v>
      </c>
      <c r="H115" s="256">
        <f>'FY 12.13 Budget Request'!O102</f>
        <v>0</v>
      </c>
    </row>
    <row r="116" spans="1:8">
      <c r="A116" s="263">
        <f>'FY 12.13 Budget Request'!D103</f>
        <v>4990.1000000000004</v>
      </c>
      <c r="B116" s="194" t="str">
        <f>'FY 12.13 Budget Request'!E103</f>
        <v>REIMBURSED PAYROLL</v>
      </c>
      <c r="D116" s="256">
        <f>'FY 12.13 Budget Request'!K103</f>
        <v>0</v>
      </c>
      <c r="E116" s="256">
        <f>'FY 12.13 Budget Request'!M103</f>
        <v>0</v>
      </c>
      <c r="F116" s="256">
        <f>'FY 12.13 Budget Request'!N103</f>
        <v>0</v>
      </c>
      <c r="G116" s="344">
        <v>0</v>
      </c>
      <c r="H116" s="256">
        <f>'FY 12.13 Budget Request'!O103</f>
        <v>0</v>
      </c>
    </row>
    <row r="117" spans="1:8">
      <c r="A117" s="263">
        <f>'FY 12.13 Budget Request'!D104</f>
        <v>4990.2</v>
      </c>
      <c r="B117" s="194" t="str">
        <f>'FY 12.13 Budget Request'!E104</f>
        <v>REIMBURSED SUPPLIES</v>
      </c>
      <c r="D117" s="256">
        <f>'FY 12.13 Budget Request'!K104</f>
        <v>0</v>
      </c>
      <c r="E117" s="256">
        <f>'FY 12.13 Budget Request'!M104</f>
        <v>0</v>
      </c>
      <c r="F117" s="256">
        <f>'FY 12.13 Budget Request'!N104</f>
        <v>0</v>
      </c>
      <c r="G117" s="344">
        <v>0</v>
      </c>
      <c r="H117" s="256">
        <f>'FY 12.13 Budget Request'!O104</f>
        <v>0</v>
      </c>
    </row>
    <row r="118" spans="1:8">
      <c r="A118" s="263">
        <f>'FY 12.13 Budget Request'!D105</f>
        <v>4990.3</v>
      </c>
      <c r="B118" s="194" t="str">
        <f>'FY 12.13 Budget Request'!E105</f>
        <v>REIMBURSED OTHER SERVICES</v>
      </c>
      <c r="D118" s="256">
        <f>'FY 12.13 Budget Request'!K105</f>
        <v>10000</v>
      </c>
      <c r="E118" s="256">
        <f>'FY 12.13 Budget Request'!M105</f>
        <v>7000</v>
      </c>
      <c r="F118" s="256">
        <f>'FY 12.13 Budget Request'!N105</f>
        <v>7000</v>
      </c>
      <c r="G118" s="344">
        <f t="shared" si="3"/>
        <v>-0.3</v>
      </c>
      <c r="H118" s="256">
        <f>'FY 12.13 Budget Request'!O105</f>
        <v>0</v>
      </c>
    </row>
    <row r="119" spans="1:8">
      <c r="A119" s="263">
        <f>'FY 12.13 Budget Request'!D106</f>
        <v>4990.3999999999996</v>
      </c>
      <c r="B119" s="194" t="str">
        <f>'FY 12.13 Budget Request'!E106</f>
        <v>REIMBURSED MAINTENANCE</v>
      </c>
      <c r="D119" s="256">
        <f>'FY 12.13 Budget Request'!K106</f>
        <v>2500</v>
      </c>
      <c r="E119" s="256">
        <f>'FY 12.13 Budget Request'!M106</f>
        <v>2500</v>
      </c>
      <c r="F119" s="256">
        <f>'FY 12.13 Budget Request'!N106</f>
        <v>0</v>
      </c>
      <c r="G119" s="344">
        <f t="shared" si="3"/>
        <v>-1</v>
      </c>
      <c r="H119" s="256">
        <f>'FY 12.13 Budget Request'!O106</f>
        <v>0</v>
      </c>
    </row>
    <row r="120" spans="1:8">
      <c r="A120" s="263">
        <f>'FY 12.13 Budget Request'!D107</f>
        <v>4990.5</v>
      </c>
      <c r="B120" s="194" t="str">
        <f>'FY 12.13 Budget Request'!E107</f>
        <v>REIMBURSED CAPITAL ITEMS</v>
      </c>
      <c r="D120" s="256">
        <f>'FY 12.13 Budget Request'!K107</f>
        <v>141</v>
      </c>
      <c r="E120" s="256">
        <f>'FY 12.13 Budget Request'!M107</f>
        <v>0</v>
      </c>
      <c r="F120" s="256">
        <f>'FY 12.13 Budget Request'!N107</f>
        <v>0</v>
      </c>
      <c r="G120" s="344">
        <f t="shared" si="3"/>
        <v>-1</v>
      </c>
      <c r="H120" s="256">
        <f>'FY 12.13 Budget Request'!O107</f>
        <v>0</v>
      </c>
    </row>
    <row r="121" spans="1:8">
      <c r="A121" s="263" t="str">
        <f>'FY 12.13 Budget Request'!D108</f>
        <v>4990.LIB</v>
      </c>
      <c r="B121" s="194" t="str">
        <f>'FY 12.13 Budget Request'!E108</f>
        <v>REIMBURSED - LIBRARY ELECTRICI</v>
      </c>
      <c r="D121" s="256">
        <f>'FY 12.13 Budget Request'!K108</f>
        <v>0</v>
      </c>
      <c r="E121" s="256">
        <f>'FY 12.13 Budget Request'!M108</f>
        <v>0</v>
      </c>
      <c r="F121" s="256">
        <f>'FY 12.13 Budget Request'!N108</f>
        <v>0</v>
      </c>
      <c r="G121" s="344">
        <v>0</v>
      </c>
      <c r="H121" s="256">
        <f>'FY 12.13 Budget Request'!O108</f>
        <v>0</v>
      </c>
    </row>
    <row r="122" spans="1:8" ht="7.5" customHeight="1">
      <c r="G122" s="345"/>
    </row>
    <row r="123" spans="1:8" ht="15.75" thickBot="1">
      <c r="A123" s="263" t="s">
        <v>2192</v>
      </c>
      <c r="D123" s="258">
        <f>'FY 12.13 Budget Request'!K110</f>
        <v>6462473</v>
      </c>
      <c r="E123" s="258">
        <f>'FY 12.13 Budget Request'!M110</f>
        <v>6434454</v>
      </c>
      <c r="F123" s="258">
        <f>'FY 12.13 Budget Request'!N110</f>
        <v>6620104.8294474604</v>
      </c>
      <c r="G123" s="343">
        <f>(F123-D123)/D123</f>
        <v>2.4391874356374157E-2</v>
      </c>
      <c r="H123" s="258">
        <f>'FY 12.13 Budget Request'!O110</f>
        <v>0</v>
      </c>
    </row>
    <row r="124" spans="1:8" ht="7.5" customHeight="1" thickTop="1"/>
    <row r="125" spans="1:8">
      <c r="B125" s="194"/>
      <c r="C125" s="194"/>
      <c r="D125" s="259" t="s">
        <v>2996</v>
      </c>
      <c r="E125" s="194" t="s">
        <v>2415</v>
      </c>
      <c r="H125" s="259" t="s">
        <v>3004</v>
      </c>
    </row>
    <row r="126" spans="1:8">
      <c r="A126" s="263" t="s">
        <v>2406</v>
      </c>
      <c r="B126" s="194"/>
      <c r="C126" s="194"/>
      <c r="D126" s="194"/>
      <c r="E126" s="194"/>
      <c r="F126" s="194"/>
    </row>
    <row r="127" spans="1:8">
      <c r="A127" s="263" t="s">
        <v>2954</v>
      </c>
      <c r="B127" s="194"/>
      <c r="C127" s="194"/>
      <c r="D127" s="194"/>
      <c r="E127" s="260" t="s">
        <v>1964</v>
      </c>
      <c r="F127" s="194"/>
      <c r="G127" s="260" t="s">
        <v>3010</v>
      </c>
      <c r="H127" s="260" t="s">
        <v>3009</v>
      </c>
    </row>
    <row r="128" spans="1:8">
      <c r="B128" s="194"/>
      <c r="C128" s="194"/>
      <c r="D128" s="260" t="s">
        <v>1956</v>
      </c>
      <c r="E128" s="260" t="s">
        <v>1965</v>
      </c>
      <c r="F128" s="260" t="s">
        <v>1968</v>
      </c>
      <c r="G128" s="260" t="s">
        <v>3011</v>
      </c>
      <c r="H128" s="260" t="s">
        <v>1968</v>
      </c>
    </row>
    <row r="129" spans="1:8">
      <c r="B129" s="194"/>
      <c r="C129" s="194"/>
      <c r="D129" s="260" t="s">
        <v>1961</v>
      </c>
      <c r="E129" s="260" t="s">
        <v>1966</v>
      </c>
      <c r="F129" s="260" t="s">
        <v>1961</v>
      </c>
      <c r="G129" s="260" t="s">
        <v>3012</v>
      </c>
      <c r="H129" s="260" t="s">
        <v>1961</v>
      </c>
    </row>
    <row r="130" spans="1:8">
      <c r="A130" s="264" t="s">
        <v>2955</v>
      </c>
      <c r="B130" s="255" t="s">
        <v>2956</v>
      </c>
      <c r="C130" s="255"/>
      <c r="D130" s="261" t="s">
        <v>1967</v>
      </c>
      <c r="E130" s="261" t="s">
        <v>1967</v>
      </c>
      <c r="F130" s="261" t="s">
        <v>2485</v>
      </c>
      <c r="G130" s="261" t="s">
        <v>3013</v>
      </c>
      <c r="H130" s="261" t="s">
        <v>2485</v>
      </c>
    </row>
    <row r="132" spans="1:8" ht="15.75" thickBot="1">
      <c r="A132" s="266" t="s">
        <v>3017</v>
      </c>
      <c r="B132" s="266"/>
      <c r="C132" s="266"/>
      <c r="D132" s="267"/>
      <c r="E132" s="268">
        <f>'FY 12.13 Budget Request'!M1808</f>
        <v>1079306</v>
      </c>
      <c r="F132" s="268">
        <f>'FY 12.13 Budget Request'!N1808</f>
        <v>1231185.5</v>
      </c>
      <c r="G132" s="271"/>
      <c r="H132" s="268">
        <f>'FY 12.13 Budget Request'!O1808</f>
        <v>0</v>
      </c>
    </row>
    <row r="134" spans="1:8">
      <c r="A134" s="263" t="s">
        <v>2610</v>
      </c>
    </row>
    <row r="135" spans="1:8" s="194" customFormat="1" ht="7.5" customHeight="1">
      <c r="A135" s="263"/>
      <c r="G135" s="259"/>
    </row>
    <row r="136" spans="1:8">
      <c r="A136" s="263" t="s">
        <v>2612</v>
      </c>
      <c r="D136" s="257">
        <f>'FY 12.13 Budget Request'!K1812</f>
        <v>6353143</v>
      </c>
      <c r="E136" s="257">
        <f>'FY 12.13 Budget Request'!M1812</f>
        <v>6212368</v>
      </c>
      <c r="F136" s="257">
        <f>'FY 12.13 Budget Request'!N1812</f>
        <v>6614325</v>
      </c>
      <c r="G136" s="346">
        <f>(F136-D136)/D136</f>
        <v>4.1110675456226944E-2</v>
      </c>
      <c r="H136" s="257">
        <f>'FY 12.13 Budget Request'!O1812</f>
        <v>0</v>
      </c>
    </row>
    <row r="137" spans="1:8" ht="7.5" customHeight="1"/>
    <row r="138" spans="1:8" ht="15.75" thickBot="1">
      <c r="A138" s="263" t="s">
        <v>2293</v>
      </c>
      <c r="D138" s="258">
        <f>'FY 12.13 Budget Request'!K1814</f>
        <v>6353143</v>
      </c>
      <c r="E138" s="258">
        <f>'FY 12.13 Budget Request'!M1814</f>
        <v>6212368</v>
      </c>
      <c r="F138" s="258">
        <f>'FY 12.13 Budget Request'!N1814</f>
        <v>6614325</v>
      </c>
      <c r="G138" s="343">
        <f>(F138-D138)/D138</f>
        <v>4.1110675456226944E-2</v>
      </c>
      <c r="H138" s="258">
        <f>'FY 12.13 Budget Request'!O1814</f>
        <v>0</v>
      </c>
    </row>
    <row r="139" spans="1:8" ht="7.5" customHeight="1" thickTop="1"/>
    <row r="140" spans="1:8">
      <c r="A140" s="263" t="s">
        <v>2614</v>
      </c>
    </row>
    <row r="141" spans="1:8" ht="7.5" customHeight="1"/>
    <row r="142" spans="1:8">
      <c r="A142" s="265">
        <v>250</v>
      </c>
      <c r="B142" s="194" t="s">
        <v>2998</v>
      </c>
      <c r="D142" s="256">
        <f>'FY 12.13 Budget Request'!K1818</f>
        <v>223096</v>
      </c>
      <c r="E142" s="256">
        <f>'FY 12.13 Budget Request'!M1818</f>
        <v>226628.01</v>
      </c>
      <c r="F142" s="256">
        <f>'FY 12.13 Budget Request'!N1818</f>
        <v>236093.4</v>
      </c>
      <c r="G142" s="344">
        <f t="shared" ref="G142:G147" si="4">(F142-D142)/D142</f>
        <v>5.8259224728368031E-2</v>
      </c>
      <c r="H142" s="256">
        <f>'FY 12.13 Budget Request'!O1818</f>
        <v>0</v>
      </c>
    </row>
    <row r="143" spans="1:8">
      <c r="A143" s="265">
        <v>251</v>
      </c>
      <c r="B143" s="194" t="s">
        <v>2999</v>
      </c>
      <c r="D143" s="256">
        <f>'FY 12.13 Budget Request'!K1819</f>
        <v>1739447</v>
      </c>
      <c r="E143" s="256">
        <f>'FY 12.13 Budget Request'!M1819</f>
        <v>1587252.6600000001</v>
      </c>
      <c r="F143" s="256">
        <f>'FY 12.13 Budget Request'!N1819</f>
        <v>1891157</v>
      </c>
      <c r="G143" s="344">
        <f t="shared" si="4"/>
        <v>8.7217374257450783E-2</v>
      </c>
      <c r="H143" s="256">
        <f>'FY 12.13 Budget Request'!O1819</f>
        <v>0</v>
      </c>
    </row>
    <row r="144" spans="1:8">
      <c r="A144" s="265">
        <v>252</v>
      </c>
      <c r="B144" s="194" t="s">
        <v>3000</v>
      </c>
      <c r="D144" s="256">
        <f>'FY 12.13 Budget Request'!K1820</f>
        <v>947701</v>
      </c>
      <c r="E144" s="256">
        <f>'FY 12.13 Budget Request'!M1820</f>
        <v>898804.83000000007</v>
      </c>
      <c r="F144" s="256">
        <f>'FY 12.13 Budget Request'!N1820</f>
        <v>990580</v>
      </c>
      <c r="G144" s="344">
        <f t="shared" si="4"/>
        <v>4.5245283058686234E-2</v>
      </c>
      <c r="H144" s="256">
        <f>'FY 12.13 Budget Request'!O1820</f>
        <v>0</v>
      </c>
    </row>
    <row r="145" spans="1:8">
      <c r="A145" s="265">
        <v>253</v>
      </c>
      <c r="B145" s="194" t="s">
        <v>3001</v>
      </c>
      <c r="D145" s="256">
        <f>'FY 12.13 Budget Request'!K1821</f>
        <v>1459285</v>
      </c>
      <c r="E145" s="256">
        <f>'FY 12.13 Budget Request'!M1821</f>
        <v>1372727</v>
      </c>
      <c r="F145" s="256">
        <f>'FY 12.13 Budget Request'!N1821</f>
        <v>1513416</v>
      </c>
      <c r="G145" s="344">
        <f t="shared" si="4"/>
        <v>3.7094193389228286E-2</v>
      </c>
      <c r="H145" s="256">
        <f>'FY 12.13 Budget Request'!O1821</f>
        <v>0</v>
      </c>
    </row>
    <row r="146" spans="1:8">
      <c r="A146" s="265">
        <v>259</v>
      </c>
      <c r="B146" s="194" t="s">
        <v>2993</v>
      </c>
      <c r="D146" s="256">
        <f>'FY 12.13 Budget Request'!K1822</f>
        <v>707453</v>
      </c>
      <c r="E146" s="256">
        <f>'FY 12.13 Budget Request'!M1822</f>
        <v>703203</v>
      </c>
      <c r="F146" s="256">
        <f>'FY 12.13 Budget Request'!N1822</f>
        <v>590750</v>
      </c>
      <c r="G146" s="344">
        <f t="shared" si="4"/>
        <v>-0.16496219536845558</v>
      </c>
      <c r="H146" s="256" t="str">
        <f>'FY 12.13 Budget Request'!O1822</f>
        <v>Reduced Transfer to General Fund</v>
      </c>
    </row>
    <row r="147" spans="1:8">
      <c r="A147" s="265">
        <v>260</v>
      </c>
      <c r="B147" s="194" t="s">
        <v>3002</v>
      </c>
      <c r="D147" s="256">
        <f>'FY 12.13 Budget Request'!K1823</f>
        <v>1271873</v>
      </c>
      <c r="E147" s="256">
        <f>'FY 12.13 Budget Request'!M1823</f>
        <v>1271873</v>
      </c>
      <c r="F147" s="256">
        <f>'FY 12.13 Budget Request'!N1823</f>
        <v>1358782</v>
      </c>
      <c r="G147" s="344">
        <f t="shared" si="4"/>
        <v>6.8331507941437553E-2</v>
      </c>
      <c r="H147" s="256">
        <f>'FY 12.13 Budget Request'!O1823</f>
        <v>0</v>
      </c>
    </row>
    <row r="148" spans="1:8">
      <c r="A148" s="265">
        <v>265</v>
      </c>
      <c r="B148" s="194" t="s">
        <v>3003</v>
      </c>
      <c r="D148" s="256">
        <f>'FY 12.13 Budget Request'!K1824</f>
        <v>0</v>
      </c>
      <c r="E148" s="256">
        <f>'FY 12.13 Budget Request'!M1824</f>
        <v>0</v>
      </c>
      <c r="F148" s="256">
        <f>'FY 12.13 Budget Request'!N1824</f>
        <v>0</v>
      </c>
      <c r="G148" s="344">
        <v>0</v>
      </c>
      <c r="H148" s="256">
        <f>'FY 12.13 Budget Request'!O1824</f>
        <v>0</v>
      </c>
    </row>
    <row r="149" spans="1:8" ht="7.5" customHeight="1"/>
    <row r="150" spans="1:8" ht="15.75" thickBot="1">
      <c r="A150" s="263" t="s">
        <v>2618</v>
      </c>
      <c r="D150" s="258">
        <f>'FY 12.13 Budget Request'!K1826</f>
        <v>6348855</v>
      </c>
      <c r="E150" s="258">
        <f>'FY 12.13 Budget Request'!M1826</f>
        <v>6060488.5</v>
      </c>
      <c r="F150" s="258">
        <f>'FY 12.13 Budget Request'!N1826</f>
        <v>6580778.4000000004</v>
      </c>
      <c r="G150" s="343">
        <f>(F150-D150)/D150</f>
        <v>3.6529956976494249E-2</v>
      </c>
      <c r="H150" s="258">
        <f>'FY 12.13 Budget Request'!O1826</f>
        <v>0</v>
      </c>
    </row>
    <row r="151" spans="1:8" ht="7.5" customHeight="1" thickTop="1"/>
    <row r="152" spans="1:8" ht="15.75" thickBot="1">
      <c r="A152" s="263" t="s">
        <v>2619</v>
      </c>
      <c r="D152" s="258">
        <f>'FY 12.13 Budget Request'!K1828</f>
        <v>4288</v>
      </c>
      <c r="E152" s="258">
        <f>'FY 12.13 Budget Request'!M1828</f>
        <v>151879.5</v>
      </c>
      <c r="F152" s="258">
        <f>'FY 12.13 Budget Request'!N1828</f>
        <v>33546.599999999627</v>
      </c>
      <c r="G152" s="272"/>
      <c r="H152" s="258">
        <f>'FY 12.13 Budget Request'!O1828</f>
        <v>0</v>
      </c>
    </row>
    <row r="153" spans="1:8" ht="7.5" customHeight="1" thickTop="1"/>
    <row r="154" spans="1:8" ht="15.75" thickBot="1">
      <c r="A154" s="266" t="s">
        <v>3016</v>
      </c>
      <c r="B154" s="266"/>
      <c r="C154" s="266"/>
      <c r="D154" s="268">
        <f>'FY 12.13 Budget Request'!K1830</f>
        <v>1083594</v>
      </c>
      <c r="E154" s="268">
        <f>'FY 12.13 Budget Request'!M1830</f>
        <v>1231185.5</v>
      </c>
      <c r="F154" s="268">
        <f>'FY 12.13 Budget Request'!N1830</f>
        <v>1264732.0999999996</v>
      </c>
      <c r="G154" s="274"/>
      <c r="H154" s="268">
        <f>'FY 12.13 Budget Request'!O1830</f>
        <v>0</v>
      </c>
    </row>
    <row r="155" spans="1:8" s="194" customFormat="1">
      <c r="A155" s="263"/>
      <c r="D155" s="259" t="s">
        <v>2996</v>
      </c>
      <c r="E155" s="194" t="s">
        <v>2415</v>
      </c>
      <c r="G155" s="259"/>
      <c r="H155" s="259" t="s">
        <v>3005</v>
      </c>
    </row>
    <row r="156" spans="1:8" s="194" customFormat="1">
      <c r="A156" s="263" t="s">
        <v>2406</v>
      </c>
      <c r="G156" s="259"/>
    </row>
    <row r="157" spans="1:8" s="194" customFormat="1">
      <c r="A157" s="263" t="s">
        <v>2954</v>
      </c>
      <c r="E157" s="260" t="s">
        <v>1964</v>
      </c>
      <c r="G157" s="260" t="s">
        <v>3010</v>
      </c>
      <c r="H157" s="260" t="s">
        <v>3009</v>
      </c>
    </row>
    <row r="158" spans="1:8" s="194" customFormat="1">
      <c r="A158" s="263"/>
      <c r="D158" s="260" t="s">
        <v>1956</v>
      </c>
      <c r="E158" s="260" t="s">
        <v>1965</v>
      </c>
      <c r="F158" s="260" t="s">
        <v>1968</v>
      </c>
      <c r="G158" s="260" t="s">
        <v>3011</v>
      </c>
      <c r="H158" s="260" t="s">
        <v>1968</v>
      </c>
    </row>
    <row r="159" spans="1:8" s="194" customFormat="1">
      <c r="A159" s="263"/>
      <c r="D159" s="260" t="s">
        <v>1961</v>
      </c>
      <c r="E159" s="260" t="s">
        <v>1966</v>
      </c>
      <c r="F159" s="260" t="s">
        <v>1961</v>
      </c>
      <c r="G159" s="260" t="s">
        <v>3012</v>
      </c>
      <c r="H159" s="260" t="s">
        <v>1961</v>
      </c>
    </row>
    <row r="160" spans="1:8" s="194" customFormat="1">
      <c r="A160" s="264" t="s">
        <v>2955</v>
      </c>
      <c r="B160" s="255" t="s">
        <v>2956</v>
      </c>
      <c r="C160" s="255"/>
      <c r="D160" s="261" t="s">
        <v>1967</v>
      </c>
      <c r="E160" s="261" t="s">
        <v>1967</v>
      </c>
      <c r="F160" s="261" t="s">
        <v>2485</v>
      </c>
      <c r="G160" s="261" t="s">
        <v>3013</v>
      </c>
      <c r="H160" s="261" t="s">
        <v>2485</v>
      </c>
    </row>
    <row r="161" spans="1:8" ht="7.5" customHeight="1"/>
    <row r="162" spans="1:8">
      <c r="A162" s="263" t="s">
        <v>2997</v>
      </c>
    </row>
    <row r="163" spans="1:8" ht="7.5" customHeight="1"/>
    <row r="164" spans="1:8">
      <c r="A164" s="263">
        <f>'FY 12.13 Budget Request'!D1834</f>
        <v>4010.1010000000001</v>
      </c>
      <c r="B164" s="194" t="str">
        <f>'FY 12.13 Budget Request'!E1834</f>
        <v>DELINQUENT CONTRACTS</v>
      </c>
      <c r="D164" s="256">
        <f>'FY 12.13 Budget Request'!K1834</f>
        <v>2000</v>
      </c>
      <c r="E164" s="256">
        <f>'FY 12.13 Budget Request'!M1834</f>
        <v>1500</v>
      </c>
      <c r="F164" s="256">
        <f>'FY 12.13 Budget Request'!N1834</f>
        <v>1500</v>
      </c>
      <c r="G164" s="344">
        <f t="shared" ref="G164:G182" si="5">(F164-D164)/D164</f>
        <v>-0.25</v>
      </c>
      <c r="H164" s="256">
        <f>'FY 12.13 Budget Request'!O1834</f>
        <v>0</v>
      </c>
    </row>
    <row r="165" spans="1:8">
      <c r="A165" s="263">
        <f>'FY 12.13 Budget Request'!D1835</f>
        <v>4010.1030000000001</v>
      </c>
      <c r="B165" s="194" t="str">
        <f>'FY 12.13 Budget Request'!E1835</f>
        <v>DEBT SERVICE DELINQUENT TAXES</v>
      </c>
      <c r="D165" s="256">
        <f>'FY 12.13 Budget Request'!K1835</f>
        <v>0</v>
      </c>
      <c r="E165" s="256">
        <f>'FY 12.13 Budget Request'!M1835</f>
        <v>0</v>
      </c>
      <c r="F165" s="256">
        <f>'FY 12.13 Budget Request'!N1835</f>
        <v>0</v>
      </c>
      <c r="G165" s="344">
        <v>0</v>
      </c>
      <c r="H165" s="256">
        <f>'FY 12.13 Budget Request'!O1835</f>
        <v>0</v>
      </c>
    </row>
    <row r="166" spans="1:8">
      <c r="A166" s="263">
        <f>'FY 12.13 Budget Request'!D1836</f>
        <v>4110.1109999999999</v>
      </c>
      <c r="B166" s="194" t="str">
        <f>'FY 12.13 Budget Request'!E1836</f>
        <v>WATER</v>
      </c>
      <c r="D166" s="256">
        <f>'FY 12.13 Budget Request'!K1836</f>
        <v>2969728</v>
      </c>
      <c r="E166" s="256">
        <f>'FY 12.13 Budget Request'!M1836</f>
        <v>2950000</v>
      </c>
      <c r="F166" s="256">
        <f>'FY 12.13 Budget Request'!N1836</f>
        <v>3165198</v>
      </c>
      <c r="G166" s="344">
        <f t="shared" si="5"/>
        <v>6.5820842851601224E-2</v>
      </c>
      <c r="H166" s="256" t="str">
        <f>'FY 12.13 Budget Request'!O1836</f>
        <v>4.5% increase (usage up)</v>
      </c>
    </row>
    <row r="167" spans="1:8">
      <c r="A167" s="263">
        <f>'FY 12.13 Budget Request'!D1837</f>
        <v>4110.1130000000003</v>
      </c>
      <c r="B167" s="194" t="str">
        <f>'FY 12.13 Budget Request'!E1837</f>
        <v>SEWER</v>
      </c>
      <c r="D167" s="256">
        <f>'FY 12.13 Budget Request'!K1837</f>
        <v>1678530</v>
      </c>
      <c r="E167" s="256">
        <f>'FY 12.13 Budget Request'!M1837</f>
        <v>1680000</v>
      </c>
      <c r="F167" s="256">
        <f>'FY 12.13 Budget Request'!N1837</f>
        <v>1792527</v>
      </c>
      <c r="G167" s="344">
        <f t="shared" si="5"/>
        <v>6.7914782577612548E-2</v>
      </c>
      <c r="H167" s="256" t="str">
        <f>'FY 12.13 Budget Request'!O1837</f>
        <v>4.5% increase (usage up)</v>
      </c>
    </row>
    <row r="168" spans="1:8">
      <c r="A168" s="263">
        <f>'FY 12.13 Budget Request'!D1838</f>
        <v>4110.1149999999998</v>
      </c>
      <c r="B168" s="194" t="str">
        <f>'FY 12.13 Budget Request'!E1838</f>
        <v>SANITATION</v>
      </c>
      <c r="D168" s="256">
        <f>'FY 12.13 Budget Request'!K1838</f>
        <v>1459285</v>
      </c>
      <c r="E168" s="256">
        <f>'FY 12.13 Budget Request'!M1838</f>
        <v>1350000</v>
      </c>
      <c r="F168" s="256">
        <f>'FY 12.13 Budget Request'!N1838</f>
        <v>1425000</v>
      </c>
      <c r="G168" s="344">
        <f t="shared" si="5"/>
        <v>-2.3494382522947881E-2</v>
      </c>
      <c r="H168" s="256" t="str">
        <f>'FY 12.13 Budget Request'!O1838</f>
        <v xml:space="preserve">AG: dropped est by $50K  </v>
      </c>
    </row>
    <row r="169" spans="1:8">
      <c r="A169" s="263">
        <f>'FY 12.13 Budget Request'!D1839</f>
        <v>4110.1189999999997</v>
      </c>
      <c r="B169" s="194" t="str">
        <f>'FY 12.13 Budget Request'!E1839</f>
        <v>TAPPING FEES</v>
      </c>
      <c r="D169" s="256">
        <f>'FY 12.13 Budget Request'!K1839</f>
        <v>6000</v>
      </c>
      <c r="E169" s="256">
        <f>'FY 12.13 Budget Request'!M1839</f>
        <v>4000</v>
      </c>
      <c r="F169" s="256">
        <f>'FY 12.13 Budget Request'!N1839</f>
        <v>5000</v>
      </c>
      <c r="G169" s="344">
        <f t="shared" si="5"/>
        <v>-0.16666666666666666</v>
      </c>
      <c r="H169" s="256">
        <f>'FY 12.13 Budget Request'!O1839</f>
        <v>0</v>
      </c>
    </row>
    <row r="170" spans="1:8">
      <c r="A170" s="263">
        <f>'FY 12.13 Budget Request'!D1840</f>
        <v>4110.1210000000001</v>
      </c>
      <c r="B170" s="194" t="str">
        <f>'FY 12.13 Budget Request'!E1840</f>
        <v>LATE PAYMENT PENALTY</v>
      </c>
      <c r="D170" s="256">
        <f>'FY 12.13 Budget Request'!K1840</f>
        <v>120000</v>
      </c>
      <c r="E170" s="256">
        <f>'FY 12.13 Budget Request'!M1840</f>
        <v>115000</v>
      </c>
      <c r="F170" s="256">
        <f>'FY 12.13 Budget Request'!N1840</f>
        <v>115000</v>
      </c>
      <c r="G170" s="344">
        <f t="shared" si="5"/>
        <v>-4.1666666666666664E-2</v>
      </c>
      <c r="H170" s="256">
        <f>'FY 12.13 Budget Request'!O1840</f>
        <v>0</v>
      </c>
    </row>
    <row r="171" spans="1:8">
      <c r="A171" s="263">
        <f>'FY 12.13 Budget Request'!D1841</f>
        <v>4120</v>
      </c>
      <c r="B171" s="194" t="str">
        <f>'FY 12.13 Budget Request'!E1841</f>
        <v>LANDFILL REVENUE</v>
      </c>
      <c r="D171" s="256">
        <f>'FY 12.13 Budget Request'!K1841</f>
        <v>0</v>
      </c>
      <c r="E171" s="256">
        <f>'FY 12.13 Budget Request'!M1841</f>
        <v>0</v>
      </c>
      <c r="F171" s="256">
        <f>'FY 12.13 Budget Request'!N1841</f>
        <v>0</v>
      </c>
      <c r="G171" s="344">
        <v>0</v>
      </c>
      <c r="H171" s="256">
        <f>'FY 12.13 Budget Request'!O1841</f>
        <v>0</v>
      </c>
    </row>
    <row r="172" spans="1:8">
      <c r="A172" s="263">
        <f>'FY 12.13 Budget Request'!D1842</f>
        <v>4125</v>
      </c>
      <c r="B172" s="194" t="str">
        <f>'FY 12.13 Budget Request'!E1842</f>
        <v>GARBAGE ADMIN REVENUE</v>
      </c>
      <c r="D172" s="256">
        <f>'FY 12.13 Budget Request'!K1842</f>
        <v>66000</v>
      </c>
      <c r="E172" s="256">
        <f>'FY 12.13 Budget Request'!M1842</f>
        <v>66000</v>
      </c>
      <c r="F172" s="256">
        <f>'FY 12.13 Budget Request'!N1842</f>
        <v>66000</v>
      </c>
      <c r="G172" s="344">
        <f t="shared" si="5"/>
        <v>0</v>
      </c>
      <c r="H172" s="256">
        <f>'FY 12.13 Budget Request'!O1842</f>
        <v>0</v>
      </c>
    </row>
    <row r="173" spans="1:8">
      <c r="A173" s="263">
        <f>'FY 12.13 Budget Request'!D1843</f>
        <v>4130.9399999999996</v>
      </c>
      <c r="B173" s="194" t="str">
        <f>'FY 12.13 Budget Request'!E1843</f>
        <v>TRANSFER FROM ENTERPRISE-94 CO</v>
      </c>
      <c r="D173" s="256">
        <f>'FY 12.13 Budget Request'!K1843</f>
        <v>0</v>
      </c>
      <c r="E173" s="256">
        <f>'FY 12.13 Budget Request'!M1843</f>
        <v>0</v>
      </c>
      <c r="F173" s="256">
        <f>'FY 12.13 Budget Request'!N1843</f>
        <v>0</v>
      </c>
      <c r="G173" s="344">
        <v>0</v>
      </c>
      <c r="H173" s="256">
        <f>'FY 12.13 Budget Request'!O1843</f>
        <v>0</v>
      </c>
    </row>
    <row r="174" spans="1:8">
      <c r="A174" s="263">
        <f>'FY 12.13 Budget Request'!D1844</f>
        <v>4210</v>
      </c>
      <c r="B174" s="194" t="str">
        <f>'FY 12.13 Budget Request'!E1844</f>
        <v>RENTALS &amp; LEASES</v>
      </c>
      <c r="D174" s="256">
        <f>'FY 12.13 Budget Request'!K1844</f>
        <v>23000</v>
      </c>
      <c r="E174" s="256">
        <f>'FY 12.13 Budget Request'!M1844</f>
        <v>24000</v>
      </c>
      <c r="F174" s="256">
        <f>'FY 12.13 Budget Request'!N1844</f>
        <v>24000</v>
      </c>
      <c r="G174" s="344">
        <f t="shared" si="5"/>
        <v>4.3478260869565216E-2</v>
      </c>
      <c r="H174" s="256">
        <f>'FY 12.13 Budget Request'!O1844</f>
        <v>0</v>
      </c>
    </row>
    <row r="175" spans="1:8">
      <c r="A175" s="263">
        <f>'FY 12.13 Budget Request'!D1845</f>
        <v>4250</v>
      </c>
      <c r="B175" s="194" t="str">
        <f>'FY 12.13 Budget Request'!E1845</f>
        <v>PERMITS</v>
      </c>
      <c r="D175" s="256">
        <f>'FY 12.13 Budget Request'!K1845</f>
        <v>100</v>
      </c>
      <c r="E175" s="256">
        <f>'FY 12.13 Budget Request'!M1845</f>
        <v>100</v>
      </c>
      <c r="F175" s="256">
        <f>'FY 12.13 Budget Request'!N1845</f>
        <v>100</v>
      </c>
      <c r="G175" s="344">
        <f t="shared" si="5"/>
        <v>0</v>
      </c>
      <c r="H175" s="256">
        <f>'FY 12.13 Budget Request'!O1845</f>
        <v>0</v>
      </c>
    </row>
    <row r="176" spans="1:8">
      <c r="A176" s="263">
        <f>'FY 12.13 Budget Request'!D1846</f>
        <v>4330</v>
      </c>
      <c r="B176" s="194" t="str">
        <f>'FY 12.13 Budget Request'!E1846</f>
        <v>INTEREST INCOME-ENTERPRISE</v>
      </c>
      <c r="D176" s="256">
        <f>'FY 12.13 Budget Request'!K1846</f>
        <v>13000</v>
      </c>
      <c r="E176" s="256">
        <f>'FY 12.13 Budget Request'!M1846</f>
        <v>5000</v>
      </c>
      <c r="F176" s="256">
        <f>'FY 12.13 Budget Request'!N1846</f>
        <v>5000</v>
      </c>
      <c r="G176" s="344">
        <f t="shared" si="5"/>
        <v>-0.61538461538461542</v>
      </c>
      <c r="H176" s="256">
        <f>'FY 12.13 Budget Request'!O1846</f>
        <v>0</v>
      </c>
    </row>
    <row r="177" spans="1:8">
      <c r="A177" s="263">
        <f>'FY 12.13 Budget Request'!D1847</f>
        <v>4330.1030000000001</v>
      </c>
      <c r="B177" s="194" t="str">
        <f>'FY 12.13 Budget Request'!E1847</f>
        <v>INTEREST INCOME-CUSTOMER DEPOS</v>
      </c>
      <c r="D177" s="256">
        <f>'FY 12.13 Budget Request'!K1847</f>
        <v>1500</v>
      </c>
      <c r="E177" s="256">
        <f>'FY 12.13 Budget Request'!M1847</f>
        <v>2000</v>
      </c>
      <c r="F177" s="256">
        <f>'FY 12.13 Budget Request'!N1847</f>
        <v>2000</v>
      </c>
      <c r="G177" s="344">
        <f t="shared" si="5"/>
        <v>0.33333333333333331</v>
      </c>
      <c r="H177" s="256">
        <f>'FY 12.13 Budget Request'!O1847</f>
        <v>0</v>
      </c>
    </row>
    <row r="178" spans="1:8">
      <c r="A178" s="263">
        <f>'FY 12.13 Budget Request'!D1848</f>
        <v>4330.9399999999996</v>
      </c>
      <c r="B178" s="194" t="str">
        <f>'FY 12.13 Budget Request'!E1848</f>
        <v>INTEREST INCOME-94 CO</v>
      </c>
      <c r="D178" s="256">
        <f>'FY 12.13 Budget Request'!K1848</f>
        <v>0</v>
      </c>
      <c r="E178" s="256">
        <f>'FY 12.13 Budget Request'!M1848</f>
        <v>0</v>
      </c>
      <c r="F178" s="256">
        <f>'FY 12.13 Budget Request'!N1848</f>
        <v>0</v>
      </c>
      <c r="G178" s="344">
        <v>0</v>
      </c>
      <c r="H178" s="256">
        <f>'FY 12.13 Budget Request'!O1848</f>
        <v>0</v>
      </c>
    </row>
    <row r="179" spans="1:8">
      <c r="A179" s="263">
        <f>'FY 12.13 Budget Request'!D1849</f>
        <v>4370</v>
      </c>
      <c r="B179" s="194" t="str">
        <f>'FY 12.13 Budget Request'!E1849</f>
        <v>DAMAGES TO CITY PROPERTY</v>
      </c>
      <c r="D179" s="256">
        <f>'FY 12.13 Budget Request'!K1849</f>
        <v>1000</v>
      </c>
      <c r="E179" s="256">
        <f>'FY 12.13 Budget Request'!M1849</f>
        <v>10000</v>
      </c>
      <c r="F179" s="256">
        <f>'FY 12.13 Budget Request'!N1849</f>
        <v>8000</v>
      </c>
      <c r="G179" s="344">
        <f t="shared" si="5"/>
        <v>7</v>
      </c>
      <c r="H179" s="256">
        <f>'FY 12.13 Budget Request'!O1849</f>
        <v>0</v>
      </c>
    </row>
    <row r="180" spans="1:8">
      <c r="A180" s="263">
        <f>'FY 12.13 Budget Request'!D1850</f>
        <v>4630</v>
      </c>
      <c r="B180" s="194" t="str">
        <f>'FY 12.13 Budget Request'!E1850</f>
        <v>METER DEPOSIT FEES</v>
      </c>
      <c r="D180" s="256">
        <f>'FY 12.13 Budget Request'!K1850</f>
        <v>0</v>
      </c>
      <c r="E180" s="256">
        <f>'FY 12.13 Budget Request'!M1850</f>
        <v>0</v>
      </c>
      <c r="F180" s="256">
        <f>'FY 12.13 Budget Request'!N1850</f>
        <v>0</v>
      </c>
      <c r="G180" s="344">
        <v>0</v>
      </c>
      <c r="H180" s="256">
        <f>'FY 12.13 Budget Request'!O1850</f>
        <v>0</v>
      </c>
    </row>
    <row r="181" spans="1:8">
      <c r="A181" s="263">
        <f>'FY 12.13 Budget Request'!D1851</f>
        <v>4890</v>
      </c>
      <c r="B181" s="194" t="str">
        <f>'FY 12.13 Budget Request'!E1851</f>
        <v>MISCELLANEOUS REVENUE</v>
      </c>
      <c r="D181" s="256">
        <f>'FY 12.13 Budget Request'!K1851</f>
        <v>8000</v>
      </c>
      <c r="E181" s="256">
        <f>'FY 12.13 Budget Request'!M1851</f>
        <v>5000</v>
      </c>
      <c r="F181" s="256">
        <f>'FY 12.13 Budget Request'!N1851</f>
        <v>5000</v>
      </c>
      <c r="G181" s="344">
        <f t="shared" si="5"/>
        <v>-0.375</v>
      </c>
      <c r="H181" s="256">
        <f>'FY 12.13 Budget Request'!O1851</f>
        <v>0</v>
      </c>
    </row>
    <row r="182" spans="1:8">
      <c r="A182" s="263">
        <f>'FY 12.13 Budget Request'!D1852</f>
        <v>4890.1890000000003</v>
      </c>
      <c r="B182" s="194" t="str">
        <f>'FY 12.13 Budget Request'!E1852</f>
        <v>SALE OF SURPLUS PROPERTY</v>
      </c>
      <c r="D182" s="256">
        <f>'FY 12.13 Budget Request'!K1852</f>
        <v>5000</v>
      </c>
      <c r="E182" s="256">
        <f>'FY 12.13 Budget Request'!M1852</f>
        <v>0</v>
      </c>
      <c r="F182" s="256">
        <f>'FY 12.13 Budget Request'!N1852</f>
        <v>0</v>
      </c>
      <c r="G182" s="344">
        <f t="shared" si="5"/>
        <v>-1</v>
      </c>
      <c r="H182" s="256">
        <f>'FY 12.13 Budget Request'!O1852</f>
        <v>0</v>
      </c>
    </row>
    <row r="183" spans="1:8">
      <c r="A183" s="263">
        <f>'FY 12.13 Budget Request'!D1853</f>
        <v>4890.1989999999996</v>
      </c>
      <c r="B183" s="194" t="str">
        <f>'FY 12.13 Budget Request'!E1853</f>
        <v>CASH COLLECTIONS-OVER/SHORT</v>
      </c>
      <c r="D183" s="256">
        <f>'FY 12.13 Budget Request'!K1853</f>
        <v>0</v>
      </c>
      <c r="E183" s="256">
        <f>'FY 12.13 Budget Request'!M1853</f>
        <v>-232</v>
      </c>
      <c r="F183" s="256">
        <f>'FY 12.13 Budget Request'!N1853</f>
        <v>0</v>
      </c>
      <c r="G183" s="344">
        <v>0</v>
      </c>
      <c r="H183" s="256">
        <f>'FY 12.13 Budget Request'!O1853</f>
        <v>0</v>
      </c>
    </row>
    <row r="184" spans="1:8">
      <c r="A184" s="263">
        <f>'FY 12.13 Budget Request'!D1854</f>
        <v>4990.1000000000004</v>
      </c>
      <c r="B184" s="194" t="str">
        <f>'FY 12.13 Budget Request'!E1854</f>
        <v>REIMBURSED PAYROLL</v>
      </c>
      <c r="D184" s="256">
        <f>'FY 12.13 Budget Request'!K1854</f>
        <v>0</v>
      </c>
      <c r="E184" s="256">
        <f>'FY 12.13 Budget Request'!M1854</f>
        <v>0</v>
      </c>
      <c r="F184" s="256">
        <f>'FY 12.13 Budget Request'!N1854</f>
        <v>0</v>
      </c>
      <c r="G184" s="344">
        <v>0</v>
      </c>
      <c r="H184" s="256">
        <f>'FY 12.13 Budget Request'!O1854</f>
        <v>0</v>
      </c>
    </row>
    <row r="185" spans="1:8">
      <c r="A185" s="263">
        <f>'FY 12.13 Budget Request'!D1855</f>
        <v>4990.2</v>
      </c>
      <c r="B185" s="194" t="str">
        <f>'FY 12.13 Budget Request'!E1855</f>
        <v>REIMBURSED SUPPLES</v>
      </c>
      <c r="D185" s="256">
        <f>'FY 12.13 Budget Request'!K1855</f>
        <v>0</v>
      </c>
      <c r="E185" s="256">
        <f>'FY 12.13 Budget Request'!M1855</f>
        <v>0</v>
      </c>
      <c r="F185" s="256">
        <f>'FY 12.13 Budget Request'!N1855</f>
        <v>0</v>
      </c>
      <c r="G185" s="344">
        <v>0</v>
      </c>
      <c r="H185" s="256">
        <f>'FY 12.13 Budget Request'!O1855</f>
        <v>0</v>
      </c>
    </row>
    <row r="186" spans="1:8">
      <c r="A186" s="263">
        <f>'FY 12.13 Budget Request'!D1856</f>
        <v>4990.3</v>
      </c>
      <c r="B186" s="194" t="str">
        <f>'FY 12.13 Budget Request'!E1856</f>
        <v>REIMBURSED OTHER SERVICES</v>
      </c>
      <c r="D186" s="256">
        <f>'FY 12.13 Budget Request'!K1856</f>
        <v>0</v>
      </c>
      <c r="E186" s="256">
        <f>'FY 12.13 Budget Request'!M1856</f>
        <v>0</v>
      </c>
      <c r="F186" s="256">
        <f>'FY 12.13 Budget Request'!N1856</f>
        <v>0</v>
      </c>
      <c r="G186" s="344">
        <v>0</v>
      </c>
      <c r="H186" s="256">
        <f>'FY 12.13 Budget Request'!O1856</f>
        <v>0</v>
      </c>
    </row>
    <row r="187" spans="1:8">
      <c r="A187" s="263">
        <f>'FY 12.13 Budget Request'!D1857</f>
        <v>4990.3999999999996</v>
      </c>
      <c r="B187" s="194" t="str">
        <f>'FY 12.13 Budget Request'!E1857</f>
        <v>REIMBURSED MAINTENANCE</v>
      </c>
      <c r="D187" s="256">
        <f>'FY 12.13 Budget Request'!K1857</f>
        <v>0</v>
      </c>
      <c r="E187" s="256">
        <f>'FY 12.13 Budget Request'!M1857</f>
        <v>0</v>
      </c>
      <c r="F187" s="256">
        <f>'FY 12.13 Budget Request'!N1857</f>
        <v>0</v>
      </c>
      <c r="G187" s="344">
        <v>0</v>
      </c>
      <c r="H187" s="256">
        <f>'FY 12.13 Budget Request'!O1857</f>
        <v>0</v>
      </c>
    </row>
    <row r="188" spans="1:8">
      <c r="A188" s="263">
        <f>'FY 12.13 Budget Request'!D1858</f>
        <v>4990.5</v>
      </c>
      <c r="B188" s="194" t="str">
        <f>'FY 12.13 Budget Request'!E1858</f>
        <v>REIMBURSED CAPITAL ITEMS</v>
      </c>
      <c r="D188" s="256">
        <f>'FY 12.13 Budget Request'!K1858</f>
        <v>0</v>
      </c>
      <c r="E188" s="256">
        <f>'FY 12.13 Budget Request'!M1858</f>
        <v>0</v>
      </c>
      <c r="F188" s="256">
        <f>'FY 12.13 Budget Request'!N1858</f>
        <v>0</v>
      </c>
      <c r="G188" s="344">
        <v>0</v>
      </c>
      <c r="H188" s="256">
        <f>'FY 12.13 Budget Request'!O1858</f>
        <v>0</v>
      </c>
    </row>
    <row r="189" spans="1:8" s="194" customFormat="1" ht="7.5" customHeight="1">
      <c r="A189" s="263"/>
      <c r="D189" s="256"/>
      <c r="E189" s="256"/>
      <c r="F189" s="256"/>
      <c r="G189" s="345"/>
    </row>
    <row r="190" spans="1:8" ht="15.75" thickBot="1">
      <c r="A190" s="263" t="s">
        <v>2293</v>
      </c>
      <c r="D190" s="258">
        <f>'FY 12.13 Budget Request'!K1860</f>
        <v>6353143</v>
      </c>
      <c r="E190" s="258">
        <f>'FY 12.13 Budget Request'!M1860</f>
        <v>6212368</v>
      </c>
      <c r="F190" s="258">
        <f>'FY 12.13 Budget Request'!N1860</f>
        <v>6614325</v>
      </c>
      <c r="G190" s="343">
        <f>(F190-D190)/D190</f>
        <v>4.1110675456226944E-2</v>
      </c>
      <c r="H190" s="258">
        <f>'FY 12.13 Budget Request'!O1860</f>
        <v>0</v>
      </c>
    </row>
    <row r="191" spans="1:8" ht="15.75" thickTop="1"/>
  </sheetData>
  <pageMargins left="0" right="0" top="0" bottom="0" header="0" footer="0"/>
  <pageSetup scale="95" orientation="landscape" r:id="rId1"/>
  <rowBreaks count="4" manualBreakCount="4">
    <brk id="44" max="16383" man="1"/>
    <brk id="86" max="16383" man="1"/>
    <brk id="124" max="8" man="1"/>
    <brk id="154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Director Instructions</vt:lpstr>
      <vt:lpstr>FY 12.13 Budget Request</vt:lpstr>
      <vt:lpstr>Form</vt:lpstr>
      <vt:lpstr>EMAIL WORDS</vt:lpstr>
      <vt:lpstr>SUMMARY RPT</vt:lpstr>
      <vt:lpstr>'Director Instructions'!Print_Area</vt:lpstr>
      <vt:lpstr>Form!Print_Area</vt:lpstr>
      <vt:lpstr>'FY 12.13 Budget Request'!Print_Area</vt:lpstr>
      <vt:lpstr>'SUMMARY RPT'!Print_Area</vt:lpstr>
      <vt:lpstr>'FY 12.13 Budget Request'!Print_Titles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agarmon</dc:creator>
  <cp:lastModifiedBy>Linda Byers</cp:lastModifiedBy>
  <cp:lastPrinted>2012-10-05T20:10:37Z</cp:lastPrinted>
  <dcterms:created xsi:type="dcterms:W3CDTF">2011-05-11T20:03:05Z</dcterms:created>
  <dcterms:modified xsi:type="dcterms:W3CDTF">2012-10-08T14:42:05Z</dcterms:modified>
</cp:coreProperties>
</file>